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6.1.2023\"/>
    </mc:Choice>
  </mc:AlternateContent>
  <xr:revisionPtr revIDLastSave="0" documentId="13_ncr:1_{42B6D106-0701-484C-85E8-233D07253DB4}" xr6:coauthVersionLast="47" xr6:coauthVersionMax="47" xr10:uidLastSave="{00000000-0000-0000-0000-000000000000}"/>
  <bookViews>
    <workbookView xWindow="28680" yWindow="-120" windowWidth="29040" windowHeight="15840" activeTab="7" xr2:uid="{550F8CD8-75CD-4119-A5F2-8F8A6C6A72CB}"/>
  </bookViews>
  <sheets>
    <sheet name="Rekapitulace" sheetId="1" r:id="rId1"/>
    <sheet name="007-01" sheetId="2" r:id="rId2"/>
    <sheet name="007-02" sheetId="3" r:id="rId3"/>
    <sheet name="007-03" sheetId="4" r:id="rId4"/>
    <sheet name="007-04" sheetId="5" r:id="rId5"/>
    <sheet name="007-05" sheetId="6" r:id="rId6"/>
    <sheet name="007-06" sheetId="8" r:id="rId7"/>
    <sheet name="007-07" sheetId="7" r:id="rId8"/>
  </sheets>
  <definedNames>
    <definedName name="_xlnm.Print_Area" localSheetId="1">'007-01'!$A$1:$AD$126</definedName>
    <definedName name="_xlnm.Print_Area" localSheetId="2">'007-02'!$A$1:$M$154</definedName>
    <definedName name="_xlnm.Print_Area" localSheetId="3">'007-03'!$A$1:$J$176</definedName>
    <definedName name="_xlnm.Print_Area" localSheetId="4">'007-04'!$A$1:$K$84</definedName>
    <definedName name="_xlnm.Print_Area" localSheetId="6">'007-06'!$A$1:$K$88</definedName>
    <definedName name="_xlnm.Print_Area" localSheetId="7">'007-07'!$A$1:$I$30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9" i="1"/>
  <c r="E20" i="1"/>
  <c r="E14" i="1"/>
  <c r="J22" i="6"/>
  <c r="J26" i="6"/>
  <c r="J30" i="6"/>
  <c r="J32" i="6"/>
  <c r="J34" i="6"/>
  <c r="J38" i="6"/>
  <c r="J40" i="6"/>
  <c r="J47" i="6"/>
  <c r="J52" i="6"/>
  <c r="J59" i="6"/>
  <c r="J64" i="6"/>
  <c r="J71" i="6"/>
  <c r="J78" i="6"/>
  <c r="J79" i="6"/>
  <c r="J80" i="6"/>
  <c r="J82" i="6"/>
  <c r="J84" i="6"/>
  <c r="J86" i="6"/>
  <c r="J88" i="6"/>
  <c r="J90" i="6"/>
  <c r="J92" i="6"/>
  <c r="J94" i="6"/>
  <c r="J96" i="6"/>
  <c r="J106" i="6"/>
  <c r="J109" i="6"/>
  <c r="J112" i="6"/>
  <c r="J114" i="6"/>
  <c r="J117" i="6"/>
  <c r="J127" i="6"/>
  <c r="J129" i="6"/>
  <c r="J132" i="6"/>
  <c r="J137" i="6"/>
  <c r="J142" i="6"/>
  <c r="J144" i="6"/>
  <c r="J145" i="6"/>
  <c r="J147" i="6"/>
  <c r="J149" i="6"/>
  <c r="J151" i="6"/>
  <c r="J153" i="6"/>
  <c r="J154" i="6"/>
  <c r="J156" i="6"/>
  <c r="J160" i="6"/>
  <c r="J163" i="6"/>
  <c r="J167" i="6"/>
  <c r="J171" i="6"/>
  <c r="J175" i="6"/>
  <c r="J179" i="6"/>
  <c r="J184" i="6"/>
  <c r="J188" i="6"/>
  <c r="J190" i="6"/>
  <c r="J192" i="6"/>
  <c r="J195" i="6"/>
  <c r="J197" i="6"/>
  <c r="J200" i="6"/>
  <c r="J203" i="6"/>
  <c r="J204" i="6"/>
  <c r="J205" i="6"/>
  <c r="J207" i="6"/>
  <c r="J208" i="6"/>
  <c r="J210" i="6"/>
  <c r="J212" i="6"/>
  <c r="J214" i="6"/>
  <c r="J220" i="6"/>
  <c r="J221" i="6"/>
  <c r="J223" i="6"/>
  <c r="J224" i="6"/>
  <c r="J226" i="6"/>
  <c r="J227" i="6"/>
  <c r="J229" i="6"/>
  <c r="J231" i="6"/>
  <c r="J232" i="6"/>
  <c r="J234" i="6"/>
  <c r="J236" i="6"/>
  <c r="J18" i="6"/>
  <c r="J241" i="6"/>
  <c r="J240" i="6"/>
  <c r="J247" i="6"/>
  <c r="J257" i="6"/>
  <c r="K38" i="5"/>
  <c r="K39" i="5"/>
  <c r="K40" i="5"/>
  <c r="K41" i="5"/>
  <c r="K42" i="5"/>
  <c r="K43" i="5"/>
  <c r="K37" i="5"/>
  <c r="K32" i="5"/>
  <c r="K31" i="5"/>
  <c r="K20" i="5"/>
  <c r="K19" i="5"/>
  <c r="K150" i="3"/>
  <c r="K25" i="5"/>
  <c r="K80" i="5" l="1"/>
  <c r="D17" i="1" s="1"/>
  <c r="E17" i="1" s="1"/>
  <c r="H172" i="4"/>
  <c r="H23" i="7"/>
  <c r="G22" i="7"/>
  <c r="H22" i="7" s="1"/>
  <c r="H21" i="7"/>
  <c r="F21" i="7"/>
  <c r="H20" i="7"/>
  <c r="F19" i="7"/>
  <c r="H19" i="7" s="1"/>
  <c r="K80" i="8"/>
  <c r="K79" i="8"/>
  <c r="I79" i="8"/>
  <c r="K78" i="8"/>
  <c r="K77" i="8"/>
  <c r="K76" i="8"/>
  <c r="K75" i="8"/>
  <c r="K74" i="8"/>
  <c r="I74" i="8"/>
  <c r="K73" i="8"/>
  <c r="K72" i="8"/>
  <c r="K71" i="8"/>
  <c r="I71" i="8"/>
  <c r="K70" i="8"/>
  <c r="K69" i="8"/>
  <c r="K68" i="8"/>
  <c r="K67" i="8"/>
  <c r="K66" i="8"/>
  <c r="K65" i="8"/>
  <c r="K64" i="8"/>
  <c r="K63" i="8"/>
  <c r="I63" i="8"/>
  <c r="K62" i="8"/>
  <c r="K61" i="8"/>
  <c r="K60" i="8"/>
  <c r="K59" i="8"/>
  <c r="K58" i="8"/>
  <c r="K57" i="8"/>
  <c r="K56" i="8"/>
  <c r="K55" i="8"/>
  <c r="K54" i="8"/>
  <c r="K53" i="8"/>
  <c r="K52" i="8"/>
  <c r="K51" i="8"/>
  <c r="I51" i="8"/>
  <c r="K50" i="8"/>
  <c r="K49" i="8"/>
  <c r="K48" i="8"/>
  <c r="I48" i="8"/>
  <c r="K47" i="8"/>
  <c r="K46" i="8"/>
  <c r="K45" i="8"/>
  <c r="I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J14" i="8"/>
  <c r="I13" i="8"/>
  <c r="K257" i="6"/>
  <c r="I257" i="6"/>
  <c r="L257" i="6" s="1"/>
  <c r="M257" i="6" s="1"/>
  <c r="G257" i="6"/>
  <c r="L247" i="6"/>
  <c r="K247" i="6"/>
  <c r="M247" i="6" s="1"/>
  <c r="I247" i="6"/>
  <c r="G247" i="6"/>
  <c r="H244" i="6"/>
  <c r="H242" i="6"/>
  <c r="L241" i="6"/>
  <c r="I241" i="6"/>
  <c r="G241" i="6"/>
  <c r="L240" i="6"/>
  <c r="I240" i="6"/>
  <c r="G240" i="6"/>
  <c r="I236" i="6"/>
  <c r="L236" i="6" s="1"/>
  <c r="G236" i="6"/>
  <c r="L234" i="6"/>
  <c r="M234" i="6" s="1"/>
  <c r="I234" i="6"/>
  <c r="H234" i="6"/>
  <c r="K234" i="6" s="1"/>
  <c r="G234" i="6"/>
  <c r="L232" i="6"/>
  <c r="M232" i="6" s="1"/>
  <c r="K232" i="6"/>
  <c r="I232" i="6"/>
  <c r="G232" i="6"/>
  <c r="K231" i="6"/>
  <c r="I231" i="6"/>
  <c r="L231" i="6" s="1"/>
  <c r="M231" i="6" s="1"/>
  <c r="G231" i="6"/>
  <c r="L229" i="6"/>
  <c r="K229" i="6"/>
  <c r="I229" i="6"/>
  <c r="G229" i="6"/>
  <c r="K227" i="6"/>
  <c r="I227" i="6"/>
  <c r="L227" i="6" s="1"/>
  <c r="G227" i="6"/>
  <c r="L226" i="6"/>
  <c r="M226" i="6" s="1"/>
  <c r="K226" i="6"/>
  <c r="I226" i="6"/>
  <c r="G226" i="6"/>
  <c r="K224" i="6"/>
  <c r="I224" i="6"/>
  <c r="L224" i="6" s="1"/>
  <c r="G224" i="6"/>
  <c r="L223" i="6"/>
  <c r="K223" i="6"/>
  <c r="I223" i="6"/>
  <c r="G223" i="6"/>
  <c r="K221" i="6"/>
  <c r="I221" i="6"/>
  <c r="L221" i="6" s="1"/>
  <c r="G221" i="6"/>
  <c r="L220" i="6"/>
  <c r="K220" i="6"/>
  <c r="I220" i="6"/>
  <c r="G220" i="6"/>
  <c r="K214" i="6"/>
  <c r="I214" i="6"/>
  <c r="L214" i="6" s="1"/>
  <c r="M214" i="6" s="1"/>
  <c r="G214" i="6"/>
  <c r="L212" i="6"/>
  <c r="K212" i="6"/>
  <c r="I212" i="6"/>
  <c r="G212" i="6"/>
  <c r="K210" i="6"/>
  <c r="I210" i="6"/>
  <c r="L210" i="6" s="1"/>
  <c r="M210" i="6" s="1"/>
  <c r="G210" i="6"/>
  <c r="L208" i="6"/>
  <c r="M208" i="6" s="1"/>
  <c r="K208" i="6"/>
  <c r="I208" i="6"/>
  <c r="G208" i="6"/>
  <c r="K207" i="6"/>
  <c r="I207" i="6"/>
  <c r="L207" i="6" s="1"/>
  <c r="M207" i="6" s="1"/>
  <c r="G207" i="6"/>
  <c r="L205" i="6"/>
  <c r="K205" i="6"/>
  <c r="I205" i="6"/>
  <c r="G205" i="6"/>
  <c r="K204" i="6"/>
  <c r="I204" i="6"/>
  <c r="L204" i="6" s="1"/>
  <c r="M204" i="6" s="1"/>
  <c r="G204" i="6"/>
  <c r="L203" i="6"/>
  <c r="M203" i="6" s="1"/>
  <c r="K203" i="6"/>
  <c r="I203" i="6"/>
  <c r="G203" i="6"/>
  <c r="K200" i="6"/>
  <c r="I200" i="6"/>
  <c r="L200" i="6" s="1"/>
  <c r="M200" i="6" s="1"/>
  <c r="G200" i="6"/>
  <c r="L197" i="6"/>
  <c r="M197" i="6" s="1"/>
  <c r="K197" i="6"/>
  <c r="I197" i="6"/>
  <c r="G197" i="6"/>
  <c r="K195" i="6"/>
  <c r="I195" i="6"/>
  <c r="L195" i="6" s="1"/>
  <c r="M195" i="6" s="1"/>
  <c r="G195" i="6"/>
  <c r="L192" i="6"/>
  <c r="M192" i="6" s="1"/>
  <c r="K192" i="6"/>
  <c r="I192" i="6"/>
  <c r="G192" i="6"/>
  <c r="K190" i="6"/>
  <c r="I190" i="6"/>
  <c r="L190" i="6" s="1"/>
  <c r="M190" i="6" s="1"/>
  <c r="G190" i="6"/>
  <c r="L188" i="6"/>
  <c r="M188" i="6" s="1"/>
  <c r="K188" i="6"/>
  <c r="I188" i="6"/>
  <c r="G188" i="6"/>
  <c r="K186" i="6"/>
  <c r="I186" i="6"/>
  <c r="L186" i="6" s="1"/>
  <c r="J186" i="6"/>
  <c r="G186" i="6"/>
  <c r="L184" i="6"/>
  <c r="K184" i="6"/>
  <c r="I184" i="6"/>
  <c r="G184" i="6"/>
  <c r="I179" i="6"/>
  <c r="L179" i="6" s="1"/>
  <c r="G179" i="6"/>
  <c r="I175" i="6"/>
  <c r="L175" i="6" s="1"/>
  <c r="G175" i="6"/>
  <c r="L171" i="6"/>
  <c r="I171" i="6"/>
  <c r="H171" i="6"/>
  <c r="H175" i="6" s="1"/>
  <c r="K175" i="6" s="1"/>
  <c r="G171" i="6"/>
  <c r="L167" i="6"/>
  <c r="I167" i="6"/>
  <c r="G167" i="6"/>
  <c r="L163" i="6"/>
  <c r="I163" i="6"/>
  <c r="G163" i="6"/>
  <c r="K160" i="6"/>
  <c r="I160" i="6"/>
  <c r="L160" i="6" s="1"/>
  <c r="M160" i="6" s="1"/>
  <c r="G160" i="6"/>
  <c r="L156" i="6"/>
  <c r="M156" i="6" s="1"/>
  <c r="K156" i="6"/>
  <c r="I156" i="6"/>
  <c r="G156" i="6"/>
  <c r="K154" i="6"/>
  <c r="I154" i="6"/>
  <c r="L154" i="6" s="1"/>
  <c r="M154" i="6" s="1"/>
  <c r="G154" i="6"/>
  <c r="L153" i="6"/>
  <c r="M153" i="6" s="1"/>
  <c r="K153" i="6"/>
  <c r="I153" i="6"/>
  <c r="G153" i="6"/>
  <c r="K151" i="6"/>
  <c r="I151" i="6"/>
  <c r="L151" i="6" s="1"/>
  <c r="M151" i="6" s="1"/>
  <c r="G151" i="6"/>
  <c r="L149" i="6"/>
  <c r="M149" i="6" s="1"/>
  <c r="K149" i="6"/>
  <c r="I149" i="6"/>
  <c r="G149" i="6"/>
  <c r="K147" i="6"/>
  <c r="I147" i="6"/>
  <c r="L147" i="6" s="1"/>
  <c r="M147" i="6" s="1"/>
  <c r="G147" i="6"/>
  <c r="L145" i="6"/>
  <c r="K145" i="6"/>
  <c r="I145" i="6"/>
  <c r="G145" i="6"/>
  <c r="K144" i="6"/>
  <c r="I144" i="6"/>
  <c r="L144" i="6" s="1"/>
  <c r="M144" i="6" s="1"/>
  <c r="G144" i="6"/>
  <c r="L142" i="6"/>
  <c r="M142" i="6" s="1"/>
  <c r="K142" i="6"/>
  <c r="I142" i="6"/>
  <c r="G142" i="6"/>
  <c r="I139" i="6"/>
  <c r="L139" i="6" s="1"/>
  <c r="G139" i="6"/>
  <c r="L137" i="6"/>
  <c r="K137" i="6"/>
  <c r="I137" i="6"/>
  <c r="G137" i="6"/>
  <c r="M132" i="6"/>
  <c r="L132" i="6"/>
  <c r="K132" i="6"/>
  <c r="I132" i="6"/>
  <c r="G132" i="6"/>
  <c r="L129" i="6"/>
  <c r="I129" i="6"/>
  <c r="H129" i="6"/>
  <c r="K129" i="6" s="1"/>
  <c r="G129" i="6"/>
  <c r="L127" i="6"/>
  <c r="M127" i="6" s="1"/>
  <c r="K127" i="6"/>
  <c r="I127" i="6"/>
  <c r="G127" i="6"/>
  <c r="K117" i="6"/>
  <c r="I117" i="6"/>
  <c r="L117" i="6" s="1"/>
  <c r="M117" i="6" s="1"/>
  <c r="G117" i="6"/>
  <c r="L114" i="6"/>
  <c r="I114" i="6"/>
  <c r="G114" i="6"/>
  <c r="L112" i="6"/>
  <c r="I112" i="6"/>
  <c r="G112" i="6"/>
  <c r="K109" i="6"/>
  <c r="I109" i="6"/>
  <c r="L109" i="6" s="1"/>
  <c r="M109" i="6" s="1"/>
  <c r="H109" i="6"/>
  <c r="H112" i="6" s="1"/>
  <c r="G109" i="6"/>
  <c r="L106" i="6"/>
  <c r="M106" i="6" s="1"/>
  <c r="K106" i="6"/>
  <c r="I106" i="6"/>
  <c r="G106" i="6"/>
  <c r="K96" i="6"/>
  <c r="I96" i="6"/>
  <c r="L96" i="6" s="1"/>
  <c r="M96" i="6" s="1"/>
  <c r="G96" i="6"/>
  <c r="L94" i="6"/>
  <c r="M94" i="6" s="1"/>
  <c r="K94" i="6"/>
  <c r="I94" i="6"/>
  <c r="G94" i="6"/>
  <c r="M92" i="6"/>
  <c r="L92" i="6"/>
  <c r="K92" i="6"/>
  <c r="I92" i="6"/>
  <c r="H92" i="6"/>
  <c r="G92" i="6"/>
  <c r="K90" i="6"/>
  <c r="I90" i="6"/>
  <c r="L90" i="6" s="1"/>
  <c r="M90" i="6" s="1"/>
  <c r="G90" i="6"/>
  <c r="L88" i="6"/>
  <c r="M88" i="6" s="1"/>
  <c r="K88" i="6"/>
  <c r="I88" i="6"/>
  <c r="G88" i="6"/>
  <c r="K86" i="6"/>
  <c r="I86" i="6"/>
  <c r="L86" i="6" s="1"/>
  <c r="M86" i="6" s="1"/>
  <c r="G86" i="6"/>
  <c r="L84" i="6"/>
  <c r="M84" i="6" s="1"/>
  <c r="K84" i="6"/>
  <c r="I84" i="6"/>
  <c r="G84" i="6"/>
  <c r="K82" i="6"/>
  <c r="I82" i="6"/>
  <c r="L82" i="6" s="1"/>
  <c r="M82" i="6" s="1"/>
  <c r="G82" i="6"/>
  <c r="L80" i="6"/>
  <c r="M80" i="6" s="1"/>
  <c r="K80" i="6"/>
  <c r="I80" i="6"/>
  <c r="G80" i="6"/>
  <c r="K79" i="6"/>
  <c r="I79" i="6"/>
  <c r="L79" i="6" s="1"/>
  <c r="M79" i="6" s="1"/>
  <c r="G79" i="6"/>
  <c r="L78" i="6"/>
  <c r="M78" i="6" s="1"/>
  <c r="K78" i="6"/>
  <c r="I78" i="6"/>
  <c r="G78" i="6"/>
  <c r="K71" i="6"/>
  <c r="I71" i="6"/>
  <c r="L71" i="6" s="1"/>
  <c r="M71" i="6" s="1"/>
  <c r="H71" i="6"/>
  <c r="G71" i="6"/>
  <c r="L64" i="6"/>
  <c r="M64" i="6" s="1"/>
  <c r="I64" i="6"/>
  <c r="H64" i="6"/>
  <c r="K64" i="6" s="1"/>
  <c r="G64" i="6"/>
  <c r="L59" i="6"/>
  <c r="M59" i="6" s="1"/>
  <c r="K59" i="6"/>
  <c r="I59" i="6"/>
  <c r="H59" i="6"/>
  <c r="G59" i="6"/>
  <c r="K52" i="6"/>
  <c r="I52" i="6"/>
  <c r="L52" i="6" s="1"/>
  <c r="M52" i="6" s="1"/>
  <c r="H52" i="6"/>
  <c r="G52" i="6"/>
  <c r="I47" i="6"/>
  <c r="L47" i="6" s="1"/>
  <c r="G47" i="6"/>
  <c r="L40" i="6"/>
  <c r="I40" i="6"/>
  <c r="H40" i="6"/>
  <c r="H47" i="6" s="1"/>
  <c r="K47" i="6" s="1"/>
  <c r="G40" i="6"/>
  <c r="L38" i="6"/>
  <c r="M38" i="6" s="1"/>
  <c r="K38" i="6"/>
  <c r="I38" i="6"/>
  <c r="G38" i="6"/>
  <c r="K34" i="6"/>
  <c r="I34" i="6"/>
  <c r="L34" i="6" s="1"/>
  <c r="M34" i="6" s="1"/>
  <c r="G34" i="6"/>
  <c r="L32" i="6"/>
  <c r="M32" i="6" s="1"/>
  <c r="K32" i="6"/>
  <c r="I32" i="6"/>
  <c r="G32" i="6"/>
  <c r="K30" i="6"/>
  <c r="I30" i="6"/>
  <c r="L30" i="6" s="1"/>
  <c r="M30" i="6" s="1"/>
  <c r="G30" i="6"/>
  <c r="L26" i="6"/>
  <c r="I26" i="6"/>
  <c r="G26" i="6"/>
  <c r="M22" i="6"/>
  <c r="L22" i="6"/>
  <c r="K22" i="6"/>
  <c r="I22" i="6"/>
  <c r="G22" i="6"/>
  <c r="L18" i="6"/>
  <c r="M18" i="6" s="1"/>
  <c r="K18" i="6"/>
  <c r="I18" i="6"/>
  <c r="H18" i="6"/>
  <c r="H163" i="6" s="1"/>
  <c r="G18" i="6"/>
  <c r="L17" i="6"/>
  <c r="M17" i="6" s="1"/>
  <c r="K17" i="6"/>
  <c r="J17" i="6"/>
  <c r="I17" i="6"/>
  <c r="G17" i="6"/>
  <c r="G262" i="6" s="1"/>
  <c r="I12" i="8" l="1"/>
  <c r="I11" i="8" s="1"/>
  <c r="I82" i="8" s="1"/>
  <c r="K82" i="8"/>
  <c r="M227" i="6"/>
  <c r="M224" i="6"/>
  <c r="M223" i="6"/>
  <c r="M221" i="6"/>
  <c r="M220" i="6"/>
  <c r="M212" i="6"/>
  <c r="M229" i="6"/>
  <c r="M205" i="6"/>
  <c r="M184" i="6"/>
  <c r="M186" i="6"/>
  <c r="M137" i="6"/>
  <c r="K139" i="6"/>
  <c r="M139" i="6" s="1"/>
  <c r="J139" i="6"/>
  <c r="M145" i="6"/>
  <c r="H25" i="7"/>
  <c r="M129" i="6"/>
  <c r="M175" i="6"/>
  <c r="K163" i="6"/>
  <c r="M163" i="6" s="1"/>
  <c r="H167" i="6"/>
  <c r="M40" i="6"/>
  <c r="K241" i="6"/>
  <c r="M241" i="6" s="1"/>
  <c r="M47" i="6"/>
  <c r="K112" i="6"/>
  <c r="M112" i="6" s="1"/>
  <c r="H114" i="6"/>
  <c r="H26" i="6"/>
  <c r="K40" i="6"/>
  <c r="K171" i="6"/>
  <c r="M171" i="6" s="1"/>
  <c r="H236" i="6"/>
  <c r="K236" i="6" s="1"/>
  <c r="M236" i="6" s="1"/>
  <c r="H179" i="6" l="1"/>
  <c r="K167" i="6"/>
  <c r="M167" i="6" s="1"/>
  <c r="K26" i="6"/>
  <c r="M26" i="6" s="1"/>
  <c r="K240" i="6"/>
  <c r="M240" i="6" s="1"/>
  <c r="K114" i="6"/>
  <c r="M114" i="6" s="1"/>
  <c r="K179" i="6" l="1"/>
  <c r="M179" i="6" s="1"/>
  <c r="J262" i="6"/>
  <c r="M262" i="6" l="1"/>
  <c r="D18" i="1"/>
  <c r="H170" i="4"/>
  <c r="H169" i="4"/>
  <c r="I168" i="4"/>
  <c r="H168" i="4"/>
  <c r="I167" i="4"/>
  <c r="H167" i="4"/>
  <c r="H166" i="4"/>
  <c r="H165" i="4"/>
  <c r="H164" i="4"/>
  <c r="H163" i="4"/>
  <c r="H161" i="4"/>
  <c r="H160" i="4"/>
  <c r="H159" i="4"/>
  <c r="H158" i="4"/>
  <c r="H157" i="4"/>
  <c r="H152" i="4" s="1"/>
  <c r="H156" i="4"/>
  <c r="H155" i="4"/>
  <c r="H154" i="4"/>
  <c r="F148" i="4"/>
  <c r="H148" i="4" s="1"/>
  <c r="H147" i="4"/>
  <c r="I146" i="4"/>
  <c r="H146" i="4"/>
  <c r="I145" i="4"/>
  <c r="H145" i="4"/>
  <c r="H144" i="4"/>
  <c r="H143" i="4"/>
  <c r="H142" i="4"/>
  <c r="H141" i="4"/>
  <c r="H139" i="4"/>
  <c r="H138" i="4"/>
  <c r="H137" i="4"/>
  <c r="H136" i="4"/>
  <c r="H135" i="4"/>
  <c r="H134" i="4"/>
  <c r="H128" i="4"/>
  <c r="H127" i="4"/>
  <c r="I126" i="4"/>
  <c r="H126" i="4"/>
  <c r="I125" i="4"/>
  <c r="H125" i="4"/>
  <c r="H124" i="4"/>
  <c r="H123" i="4"/>
  <c r="H122" i="4"/>
  <c r="H121" i="4"/>
  <c r="H119" i="4"/>
  <c r="H112" i="4" s="1"/>
  <c r="H118" i="4"/>
  <c r="H117" i="4"/>
  <c r="H116" i="4"/>
  <c r="H115" i="4"/>
  <c r="H114" i="4"/>
  <c r="H108" i="4"/>
  <c r="H107" i="4"/>
  <c r="I106" i="4"/>
  <c r="H106" i="4"/>
  <c r="I105" i="4"/>
  <c r="H105" i="4"/>
  <c r="H104" i="4"/>
  <c r="H103" i="4"/>
  <c r="H102" i="4"/>
  <c r="H101" i="4"/>
  <c r="H92" i="4" s="1"/>
  <c r="H99" i="4"/>
  <c r="H98" i="4"/>
  <c r="H97" i="4"/>
  <c r="H96" i="4"/>
  <c r="H95" i="4"/>
  <c r="H94" i="4"/>
  <c r="H88" i="4"/>
  <c r="H87" i="4"/>
  <c r="I86" i="4"/>
  <c r="H86" i="4"/>
  <c r="I85" i="4"/>
  <c r="H85" i="4"/>
  <c r="H84" i="4"/>
  <c r="H83" i="4"/>
  <c r="H82" i="4"/>
  <c r="H72" i="4" s="1"/>
  <c r="H81" i="4"/>
  <c r="H79" i="4"/>
  <c r="H78" i="4"/>
  <c r="H77" i="4"/>
  <c r="H76" i="4"/>
  <c r="H75" i="4"/>
  <c r="H74" i="4"/>
  <c r="H68" i="4"/>
  <c r="I67" i="4"/>
  <c r="H67" i="4"/>
  <c r="I66" i="4"/>
  <c r="H66" i="4"/>
  <c r="H65" i="4"/>
  <c r="H64" i="4"/>
  <c r="H63" i="4"/>
  <c r="H62" i="4"/>
  <c r="H60" i="4"/>
  <c r="H59" i="4"/>
  <c r="H58" i="4"/>
  <c r="H57" i="4"/>
  <c r="H56" i="4"/>
  <c r="H55" i="4"/>
  <c r="H53" i="4"/>
  <c r="H49" i="4"/>
  <c r="I48" i="4"/>
  <c r="H48" i="4"/>
  <c r="I47" i="4"/>
  <c r="H47" i="4"/>
  <c r="H46" i="4"/>
  <c r="H45" i="4"/>
  <c r="H44" i="4"/>
  <c r="H43" i="4"/>
  <c r="H41" i="4"/>
  <c r="H40" i="4"/>
  <c r="H39" i="4"/>
  <c r="H38" i="4"/>
  <c r="H37" i="4"/>
  <c r="H36" i="4"/>
  <c r="H34" i="4"/>
  <c r="I29" i="4"/>
  <c r="I28" i="4"/>
  <c r="F28" i="4"/>
  <c r="H28" i="4" s="1"/>
  <c r="H27" i="4"/>
  <c r="F27" i="4"/>
  <c r="H26" i="4"/>
  <c r="F26" i="4"/>
  <c r="F24" i="4"/>
  <c r="H24" i="4" s="1"/>
  <c r="H20" i="4"/>
  <c r="H19" i="4"/>
  <c r="F18" i="4"/>
  <c r="F22" i="4" s="1"/>
  <c r="H22" i="4" s="1"/>
  <c r="H17" i="4"/>
  <c r="F17" i="4"/>
  <c r="D25" i="1" l="1"/>
  <c r="E18" i="1"/>
  <c r="H132" i="4"/>
  <c r="F29" i="4"/>
  <c r="H29" i="4" s="1"/>
  <c r="H18" i="4"/>
  <c r="F25" i="4"/>
  <c r="F21" i="4"/>
  <c r="H21" i="4" s="1"/>
  <c r="F30" i="4" l="1"/>
  <c r="H30" i="4" s="1"/>
  <c r="H25" i="4"/>
  <c r="H15" i="4" s="1"/>
  <c r="E25" i="1" l="1"/>
  <c r="C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HNILIČKA, Jan</author>
  </authors>
  <commentList>
    <comment ref="K82" authorId="0" shapeId="0" xr:uid="{5CFA5049-5CD8-4A2E-8114-EC122C5E8416}">
      <text>
        <r>
          <rPr>
            <b/>
            <sz val="9"/>
            <color indexed="81"/>
            <rFont val="Tahoma"/>
            <family val="2"/>
            <charset val="238"/>
          </rPr>
          <t>HNILIČKA, Jan:</t>
        </r>
        <r>
          <rPr>
            <sz val="9"/>
            <color indexed="81"/>
            <rFont val="Tahoma"/>
            <family val="2"/>
            <charset val="238"/>
          </rPr>
          <t xml:space="preserve">
dle staničení 232,7 m z toho 85,5 m dlezěbních kostek</t>
        </r>
      </text>
    </comment>
  </commentList>
</comments>
</file>

<file path=xl/sharedStrings.xml><?xml version="1.0" encoding="utf-8"?>
<sst xmlns="http://schemas.openxmlformats.org/spreadsheetml/2006/main" count="3130" uniqueCount="550">
  <si>
    <t>NÁZEV AKCE :</t>
  </si>
  <si>
    <t>Odkanalizování povodí Jizery - část B</t>
  </si>
  <si>
    <t xml:space="preserve">UCELENÁ ČÁST STAVBY : </t>
  </si>
  <si>
    <t>ČÍSLO SMLOUVY OBJEDNATELE :</t>
  </si>
  <si>
    <t xml:space="preserve">VRI/SOD/2020/12/Ži </t>
  </si>
  <si>
    <t>ČÍSLO SMLOUVY ZHOTOVITELE :</t>
  </si>
  <si>
    <t>VCES-6003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</si>
  <si>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</si>
  <si>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</si>
  <si>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</si>
  <si>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</si>
  <si>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</si>
  <si>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</si>
  <si>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</si>
  <si>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</si>
  <si>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</si>
  <si>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</si>
  <si>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</si>
  <si>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Zhotovitel:</t>
  </si>
  <si>
    <t>Dne:</t>
  </si>
  <si>
    <t>Autorský dozor:</t>
  </si>
  <si>
    <t>Správce stavby:</t>
  </si>
  <si>
    <t>Objednatel:</t>
  </si>
  <si>
    <t>KRYCÍ LIST ZMĚNOVÉHO LISTU č.007</t>
  </si>
  <si>
    <t>007-01</t>
  </si>
  <si>
    <t>Přípočet za provedení celoplošně asfaltů 50 mm vč. odpočtů z důvodu budou výstavby vodovodu</t>
  </si>
  <si>
    <t>007-02</t>
  </si>
  <si>
    <t>Přípočet za provedení dlažby z kostek celoplošně</t>
  </si>
  <si>
    <t>007-03</t>
  </si>
  <si>
    <t>Provedení studené recyklace</t>
  </si>
  <si>
    <t>007-04</t>
  </si>
  <si>
    <t>Odpočet VV na změny komunikací B5, B6, B8, B</t>
  </si>
  <si>
    <t>007-05</t>
  </si>
  <si>
    <t>Zkrácení Stoky B3</t>
  </si>
  <si>
    <t>007-06</t>
  </si>
  <si>
    <t>Neuznatelné přípojky 208,66 m</t>
  </si>
  <si>
    <t>007-07</t>
  </si>
  <si>
    <t>KSC v místě budoucího vodovodu</t>
  </si>
  <si>
    <t>B3 - Stoka B3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</si>
  <si>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</si>
  <si>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</si>
  <si>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</si>
  <si>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</si>
  <si>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</si>
  <si>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</si>
  <si>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</si>
  <si>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</si>
  <si>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</si>
  <si>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</si>
  <si>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HSV</t>
  </si>
  <si>
    <t>Práce a dodávky HSV</t>
  </si>
  <si>
    <t>1</t>
  </si>
  <si>
    <t>Zemní práce</t>
  </si>
  <si>
    <t>ÚSEK 1</t>
  </si>
  <si>
    <t>ÚSEK 2</t>
  </si>
  <si>
    <t>ÚSEK 3</t>
  </si>
  <si>
    <t>ÚSEK 4</t>
  </si>
  <si>
    <t>ÚSEK 5</t>
  </si>
  <si>
    <t>ÚSEK 6</t>
  </si>
  <si>
    <t>ÚSEK 7</t>
  </si>
  <si>
    <t>Změna</t>
  </si>
  <si>
    <t>Celkem</t>
  </si>
  <si>
    <t>4</t>
  </si>
  <si>
    <t>K</t>
  </si>
  <si>
    <t>113154323</t>
  </si>
  <si>
    <t>Frézování živičného krytu tl 50 mm pruh š 1 m pl do 10000 m2 bez překážek v trase</t>
  </si>
  <si>
    <t>m2</t>
  </si>
  <si>
    <t>VV</t>
  </si>
  <si>
    <t/>
  </si>
  <si>
    <t>317,45*(1,1+0,5+0,5)+(2-1,1)*3,3</t>
  </si>
  <si>
    <t>0*(1,1+0,5+0,5)</t>
  </si>
  <si>
    <t>Součet</t>
  </si>
  <si>
    <t>5</t>
  </si>
  <si>
    <t>Komunikace pozemní</t>
  </si>
  <si>
    <t>49</t>
  </si>
  <si>
    <t>573211109</t>
  </si>
  <si>
    <t>Postřik živičný spojovací z asfaltu v množství 0,50 kg/m2</t>
  </si>
  <si>
    <t>50</t>
  </si>
  <si>
    <t>577144111</t>
  </si>
  <si>
    <t>Asfaltový beton vrstva obrusná ACO 11 (ABS) tř. I tl 50 mm š do 3 m z nemodifikovaného asfaltu</t>
  </si>
  <si>
    <t>997</t>
  </si>
  <si>
    <t>Přesun sutě</t>
  </si>
  <si>
    <t>79</t>
  </si>
  <si>
    <t>997221551.1</t>
  </si>
  <si>
    <t>Vodorovná doprava suti ze sypkých materiálů na skládku</t>
  </si>
  <si>
    <t>t</t>
  </si>
  <si>
    <t>80</t>
  </si>
  <si>
    <t>997221845</t>
  </si>
  <si>
    <t>Poplatek za uložení na skládce (skládkovné) odpadu asfaltového bez dehtu kód odpadu 170 302</t>
  </si>
  <si>
    <t>317,45*(1,1+0,5+0,5)*0,128+(2-1,1)*3,3*0,128</t>
  </si>
  <si>
    <t>0*(1,1+0,5+0,5)*0,128</t>
  </si>
  <si>
    <t>317,45*1,1*0,256+(2-1,1)*3,3*0,256</t>
  </si>
  <si>
    <t>0*1,1*0,256</t>
  </si>
  <si>
    <t>12</t>
  </si>
  <si>
    <t>574A04</t>
  </si>
  <si>
    <t>Vyrovnávka ACO 11+</t>
  </si>
  <si>
    <t>m3</t>
  </si>
  <si>
    <t>Odstranění nánosu na krajnicích tl do 100 mm</t>
  </si>
  <si>
    <t>Zpevnění krajnic asfaltovým recyklátem tl 50 mm</t>
  </si>
  <si>
    <t>C - Stoka C</t>
  </si>
  <si>
    <t>6</t>
  </si>
  <si>
    <t>40</t>
  </si>
  <si>
    <t>573211107</t>
  </si>
  <si>
    <t>Postřik živičný spojovací z asfaltu v množství 0,30 kg/m2</t>
  </si>
  <si>
    <t>41</t>
  </si>
  <si>
    <t>42</t>
  </si>
  <si>
    <t>43</t>
  </si>
  <si>
    <t>577165112</t>
  </si>
  <si>
    <t>Asfaltový beton vrstva ložní ACL 16 (ABH) tl 70 mm š do 3 m z nemodifikovaného asfaltu</t>
  </si>
  <si>
    <t>9</t>
  </si>
  <si>
    <t xml:space="preserve">  Ostatní konstrukce a práce-bourání</t>
  </si>
  <si>
    <t>70</t>
  </si>
  <si>
    <t>919732221</t>
  </si>
  <si>
    <t>Styčná spára napojení nového živičného povrchu na stávající za tepla š 15 mm hl 25 mm bez prořezání</t>
  </si>
  <si>
    <t>m</t>
  </si>
  <si>
    <t>71</t>
  </si>
  <si>
    <t>919735111</t>
  </si>
  <si>
    <t>Řezání stávajícího živičného krytu hl do 50 mm</t>
  </si>
  <si>
    <t>74</t>
  </si>
  <si>
    <t>75</t>
  </si>
  <si>
    <t>ABS</t>
  </si>
  <si>
    <t>ODEČET</t>
  </si>
  <si>
    <t>V - Veřejná část gravitačních přípojek</t>
  </si>
  <si>
    <t>8</t>
  </si>
  <si>
    <t>44</t>
  </si>
  <si>
    <t>54</t>
  </si>
  <si>
    <t>55</t>
  </si>
  <si>
    <t>56</t>
  </si>
  <si>
    <t>57</t>
  </si>
  <si>
    <t>997221815</t>
  </si>
  <si>
    <t>Poplatek za uložení na skládce (skládkovné) stavebního odpadu betonového kód odpadu 170 101</t>
  </si>
  <si>
    <t>Stoka C</t>
  </si>
  <si>
    <t>ABS - ODEČET</t>
  </si>
  <si>
    <t>C2 - Stoka C2</t>
  </si>
  <si>
    <t>39</t>
  </si>
  <si>
    <t>65</t>
  </si>
  <si>
    <t>66</t>
  </si>
  <si>
    <t>67</t>
  </si>
  <si>
    <t>68</t>
  </si>
  <si>
    <t>Stoka C2</t>
  </si>
  <si>
    <t>A - Stoka A</t>
  </si>
  <si>
    <t>113106521</t>
  </si>
  <si>
    <t>Rozebrání dlažeb vozovek z drobných kostek s ložem z kameniva strojně pl přes 200 m2</t>
  </si>
  <si>
    <t>7</t>
  </si>
  <si>
    <t>113107222</t>
  </si>
  <si>
    <t>Odstranění podkladu z kameniva drceného tl 200 mm strojně pl přes 200 m2</t>
  </si>
  <si>
    <t>31</t>
  </si>
  <si>
    <t>162301R-101</t>
  </si>
  <si>
    <t>Vodorovné přemístění výkopku/sypaniny z horniny tř. 1 až 6 na mezideponii</t>
  </si>
  <si>
    <t>53</t>
  </si>
  <si>
    <t>564851111</t>
  </si>
  <si>
    <t>Podklad ze štěrkodrtě ŠD tl 150 mm</t>
  </si>
  <si>
    <t>129,19*1,1</t>
  </si>
  <si>
    <t>61</t>
  </si>
  <si>
    <t>591211111</t>
  </si>
  <si>
    <t>Kladení dlažby z kostek drobných z kamene do lože z kameniva těženého tl 50 mm</t>
  </si>
  <si>
    <t>62</t>
  </si>
  <si>
    <t>M</t>
  </si>
  <si>
    <t>583801100</t>
  </si>
  <si>
    <t>kostka dlažební žula drobná</t>
  </si>
  <si>
    <t>142,11*0,2 'Přepočtené koeficientem množství</t>
  </si>
  <si>
    <t>ZL</t>
  </si>
  <si>
    <t>979071121</t>
  </si>
  <si>
    <t>Očištění vybouraných dlažebních kostek drobných, s původním vyplněním spar skamenivem těženým od spojovacího materiálu, a uložením očištěných kostek na skládek</t>
  </si>
  <si>
    <t>916111123</t>
  </si>
  <si>
    <t>Osazení silniční obruby z kostek v jedné řadě s boční opěrou z betonu prostého do lože</t>
  </si>
  <si>
    <t>99</t>
  </si>
  <si>
    <t>102</t>
  </si>
  <si>
    <t>997221855</t>
  </si>
  <si>
    <t>Poplatek za uložení na skládce (skládkovné) zeminy a kameniva kód odpadu 170 504</t>
  </si>
  <si>
    <t>ÚSEK 1 + 50% nových kostek</t>
  </si>
  <si>
    <t>ÚSEK 2 + 15% nových kostek</t>
  </si>
  <si>
    <t>2</t>
  </si>
  <si>
    <t>19</t>
  </si>
  <si>
    <t>45</t>
  </si>
  <si>
    <t>576,1*1,1</t>
  </si>
  <si>
    <t>633,71*0,2 'Přepočtené koeficientem množství</t>
  </si>
  <si>
    <t>76</t>
  </si>
  <si>
    <t>Stoka C2 85,5m</t>
  </si>
  <si>
    <t>37</t>
  </si>
  <si>
    <t>85,5*1,1</t>
  </si>
  <si>
    <t>94,05*0,2 'Přepočtené koeficientem množství</t>
  </si>
  <si>
    <t>1111R-101</t>
  </si>
  <si>
    <t>Výkaz výměr</t>
  </si>
  <si>
    <t>3</t>
  </si>
  <si>
    <t>113107221</t>
  </si>
  <si>
    <t>Odstranění podkladu z kameniva drceného tl 100 mm strojně pl přes 200 m2</t>
  </si>
  <si>
    <t>113107223</t>
  </si>
  <si>
    <t>Odstranění podkladu z kameniva drceného tl 300 mm strojně pl přes 200 m2</t>
  </si>
  <si>
    <t>113107224</t>
  </si>
  <si>
    <t>Odstranění podkladu z kameniva drceného tl 400 mm strojně pl přes 200 m2</t>
  </si>
  <si>
    <t>113107232</t>
  </si>
  <si>
    <t>Odstranění podkladu z betonu prostého tl 300 mm strojně pl přes 200 m2</t>
  </si>
  <si>
    <t>113154324</t>
  </si>
  <si>
    <t>Frézování živičného krytu tl 100 mm pruh š 1 m pl do 10000 m2 bez překážek v trase</t>
  </si>
  <si>
    <t>10</t>
  </si>
  <si>
    <t>119001401</t>
  </si>
  <si>
    <t>Dočasné zajištění potrubí ocelového nebo litinového DN do 200</t>
  </si>
  <si>
    <t>11</t>
  </si>
  <si>
    <t>119001421</t>
  </si>
  <si>
    <t>Dočasné zajištění kabelů a kabelových tratí ze 3 volně ložených kabelů</t>
  </si>
  <si>
    <t>121101101</t>
  </si>
  <si>
    <t>Sejmutí ornice s přemístěním na vzdálenost do 50 m</t>
  </si>
  <si>
    <t>13</t>
  </si>
  <si>
    <t>121101201</t>
  </si>
  <si>
    <t>Odstranění lesní hrabanky</t>
  </si>
  <si>
    <t>14</t>
  </si>
  <si>
    <t>132201202</t>
  </si>
  <si>
    <t>Hloubení rýh š do 2000 mm v hornině tř. 3 objemu do 1000 m3</t>
  </si>
  <si>
    <t>15</t>
  </si>
  <si>
    <t>132201209</t>
  </si>
  <si>
    <t>Příplatek za lepivost k hloubení rýh š do 2000 mm v hornině tř. 3</t>
  </si>
  <si>
    <t>16</t>
  </si>
  <si>
    <t>132301202</t>
  </si>
  <si>
    <t>Hloubení rýh š do 2000 mm v hornině tř. 4 objemu do 1000 m3</t>
  </si>
  <si>
    <t>17</t>
  </si>
  <si>
    <t>132301209</t>
  </si>
  <si>
    <t>Příplatek za lepivost k hloubení rýh š do 2000 mm v hornině tř. 4</t>
  </si>
  <si>
    <t>18</t>
  </si>
  <si>
    <t>132401R-101</t>
  </si>
  <si>
    <t>Rozpojování pevných hornin tř.5 skalního podloží rýh š do 2000 mm  frézováním včetně svislého přemístění výkopku</t>
  </si>
  <si>
    <t>132501R-101</t>
  </si>
  <si>
    <t>Rozpojování pevných hornin tř.6 skalního podloží rýh š do 2000 mm  frézováním včetně svislého přemístění výkopku</t>
  </si>
  <si>
    <t>20</t>
  </si>
  <si>
    <t>151811131</t>
  </si>
  <si>
    <t>Osazení pažicího boxu hl výkopu do 4 m š do 1,2 m</t>
  </si>
  <si>
    <t>21</t>
  </si>
  <si>
    <t>151811231</t>
  </si>
  <si>
    <t>Odstranění pažicího boxu hl výkopu do 4 m š do 1,2 m</t>
  </si>
  <si>
    <t>22</t>
  </si>
  <si>
    <t>23</t>
  </si>
  <si>
    <t>162601R-102</t>
  </si>
  <si>
    <t>Vodorovné přemístění přebytečného výkopku/sypaniny z horniny tř. 1 až 6 na skládku</t>
  </si>
  <si>
    <t>24</t>
  </si>
  <si>
    <t>167101102</t>
  </si>
  <si>
    <t>Nakládání výkopku z hornin tř. 1 až 4 přes 100 m3</t>
  </si>
  <si>
    <t>25</t>
  </si>
  <si>
    <t>171201201</t>
  </si>
  <si>
    <t>Uložení sypaniny na skládky,  čl.1.2-TP v.1.9</t>
  </si>
  <si>
    <t>26</t>
  </si>
  <si>
    <t>171201211</t>
  </si>
  <si>
    <t>Poplatek za uložení stavebního odpadu - zeminy a kameniva na skládce</t>
  </si>
  <si>
    <t>27</t>
  </si>
  <si>
    <t>174101101</t>
  </si>
  <si>
    <t>Zásyp jam, šachet rýh nebo kolem objektů sypaninou se zhutněním</t>
  </si>
  <si>
    <t>28</t>
  </si>
  <si>
    <t>175151101</t>
  </si>
  <si>
    <t>Obsypání potrubí strojně sypaninou bez prohození, uloženou do 3 m</t>
  </si>
  <si>
    <t>29</t>
  </si>
  <si>
    <t>583373310</t>
  </si>
  <si>
    <t>štěrkopísek frakce 0/22</t>
  </si>
  <si>
    <t>30</t>
  </si>
  <si>
    <t>181301116</t>
  </si>
  <si>
    <t>Rozprostření ornice tl vrstvy do 400 mm pl přes 500 m2 v rovině nebo ve svahu do 1:5</t>
  </si>
  <si>
    <t>181301R-103</t>
  </si>
  <si>
    <t>Rozprostření lesní hrabanky tl vrstvy do 200 mm pl do 500 m2 v rovině nebo ve svahu do 1:5</t>
  </si>
  <si>
    <t>Svislé a kompletní konstrukce</t>
  </si>
  <si>
    <t>32</t>
  </si>
  <si>
    <t>359901111</t>
  </si>
  <si>
    <t>Vyčištění stok</t>
  </si>
  <si>
    <t>33</t>
  </si>
  <si>
    <t>359901211</t>
  </si>
  <si>
    <t xml:space="preserve">Monitoring stoky jakékoli výšky na nové kanalizaci - neoceňovat dodává objednatel </t>
  </si>
  <si>
    <t>Vodorovné konstrukce</t>
  </si>
  <si>
    <t>34</t>
  </si>
  <si>
    <t>451573111</t>
  </si>
  <si>
    <t>Lože pod potrubí otevřený výkop ze štěrkopísku</t>
  </si>
  <si>
    <t>35</t>
  </si>
  <si>
    <t>452312131</t>
  </si>
  <si>
    <t>Sedlové lože z betonu prostého tř. C 12/15 otevřený výkop</t>
  </si>
  <si>
    <t>36</t>
  </si>
  <si>
    <t>564861111</t>
  </si>
  <si>
    <t>Podklad ze štěrkodrtě ŠD tl 200 mm</t>
  </si>
  <si>
    <t>38</t>
  </si>
  <si>
    <t>564871116</t>
  </si>
  <si>
    <t>Podklad ze štěrkodrtě ŠD tl. 300 mm</t>
  </si>
  <si>
    <t>564931412</t>
  </si>
  <si>
    <t>Podklad z asfaltového recyklátu tl 100 mm</t>
  </si>
  <si>
    <t>567132115</t>
  </si>
  <si>
    <t>Podklad ze směsi stmelené cementem SC C 8/10 (KSC I) tl 200 mm</t>
  </si>
  <si>
    <t>46</t>
  </si>
  <si>
    <t>Trubní vedení</t>
  </si>
  <si>
    <t>47</t>
  </si>
  <si>
    <t>831312121</t>
  </si>
  <si>
    <t>Montáž potrubí z trub kameninových hrdlových s integrovaným těsněním výkop sklon do 20 % DN 150</t>
  </si>
  <si>
    <t>48</t>
  </si>
  <si>
    <t>RB0001534F15</t>
  </si>
  <si>
    <t>trouba kameninová glazovaná DN150mm L1,50m spojovací systém F</t>
  </si>
  <si>
    <t>837312221</t>
  </si>
  <si>
    <t>Montáž kameninových tvarovek jednoosých s integrovaným těsněním otevřený výkop DN 150</t>
  </si>
  <si>
    <t>kus</t>
  </si>
  <si>
    <t>59710964</t>
  </si>
  <si>
    <t>koleno kameninové glazované DN 150 30° spojovací systém F</t>
  </si>
  <si>
    <t>51</t>
  </si>
  <si>
    <t>59711852</t>
  </si>
  <si>
    <t>ucpávka kameninová glazovaná DN 150mm spojovací systém F</t>
  </si>
  <si>
    <t>52</t>
  </si>
  <si>
    <t>892381R-101</t>
  </si>
  <si>
    <t>Zkoušky dle ČSN EN 1610 (75 6114) Provádění stok a kanalizačních přípojek a jejich zkoušení – vizuální prohlídka, zkouška vodotěsnosti (dle ČSN 75 6909 Zkoušky vodotěsnosti stok a kanalizačních zařízení) a kontrola deformace trub (čl. 12.1. – 12.3).</t>
  </si>
  <si>
    <t>899722114.1</t>
  </si>
  <si>
    <t>Krytí potrubí z plastů výstražnou fólií z PVC  šíře 100 – 300mm, barva hnědá, nápis „KANALIZACE“.</t>
  </si>
  <si>
    <t>58</t>
  </si>
  <si>
    <t>59</t>
  </si>
  <si>
    <t>998</t>
  </si>
  <si>
    <t>Přesun hmot</t>
  </si>
  <si>
    <t>60</t>
  </si>
  <si>
    <t>998275101</t>
  </si>
  <si>
    <t>Přesun hmot pro trubní vedení z trub kameninových otevřený výkop</t>
  </si>
  <si>
    <t>kostky</t>
  </si>
  <si>
    <t>Úsek stoky A - 2021</t>
  </si>
  <si>
    <t>Č.pol.</t>
  </si>
  <si>
    <t>Kód položky</t>
  </si>
  <si>
    <t>Název</t>
  </si>
  <si>
    <t>Cena/jedn (Kč)</t>
  </si>
  <si>
    <t>Cena celkem</t>
  </si>
  <si>
    <t>VCP</t>
  </si>
  <si>
    <t>Komunikace</t>
  </si>
  <si>
    <t>Recyklace</t>
  </si>
  <si>
    <t>567532112</t>
  </si>
  <si>
    <t>Recyklace podkladu za studena na místě - promísení s pojivem, kamenivem tl 250 mm</t>
  </si>
  <si>
    <t>ÚRS 2021-08</t>
  </si>
  <si>
    <t>567541111</t>
  </si>
  <si>
    <t xml:space="preserve">Recyklace podkladu za studena na místě - rozpojení a reprofilace tl 300 mm plochy do 1000 m2   </t>
  </si>
  <si>
    <t>899331111</t>
  </si>
  <si>
    <t xml:space="preserve">Výšková úprava uličního vstupu nebo vpusti do 200 mm zvýšením poklopu   </t>
  </si>
  <si>
    <t>899431111</t>
  </si>
  <si>
    <t xml:space="preserve">Výšková úprava uličního vstupu nebo vpusti do 200 mm zvýšením krycího hrnce, šoupěte nebo hydrantu   </t>
  </si>
  <si>
    <t>938908411</t>
  </si>
  <si>
    <t xml:space="preserve">Čištění vozovek splachováním vodou   </t>
  </si>
  <si>
    <t>58522150</t>
  </si>
  <si>
    <t>cement portlandský směsný CEM II 32,5MPa (25 kg/m2)</t>
  </si>
  <si>
    <t>Povrchy</t>
  </si>
  <si>
    <t>577134111</t>
  </si>
  <si>
    <t>Asfaltový beton vrstva obrusná ACO 11 (ABS) tř. I tl 40 mm š do 3 m z nemodifikovaného asfaltu</t>
  </si>
  <si>
    <t>Holé vrchy</t>
  </si>
  <si>
    <t>577145112</t>
  </si>
  <si>
    <t>Asfaltový beton vrstva ložní ACL 16 (ABH) tl 50 mm š do 3 m z nemodifikovaného asfaltu</t>
  </si>
  <si>
    <t>101</t>
  </si>
  <si>
    <t>Úsek stoky A3</t>
  </si>
  <si>
    <t>Úsek stoky A4</t>
  </si>
  <si>
    <t>Úsek stoky A5</t>
  </si>
  <si>
    <t>Úsek stoky A6</t>
  </si>
  <si>
    <t>Úsek stoky A7</t>
  </si>
  <si>
    <t>Úsek stoky A8</t>
  </si>
  <si>
    <t>ÚRS 2021 II</t>
  </si>
  <si>
    <t>ODEČET MÉNĚPRÁCE</t>
  </si>
  <si>
    <t>98</t>
  </si>
  <si>
    <t>Stoka B</t>
  </si>
  <si>
    <t>B4 - Stoka B4</t>
  </si>
  <si>
    <t>B5 - Stoka B5</t>
  </si>
  <si>
    <t>B6 - Stoka B6</t>
  </si>
  <si>
    <t>Rozdílový výkaz výměr k návrhu na změnu č. 007-04</t>
  </si>
  <si>
    <t>Rozdílový výkaz výměr k návrhu na změnu č. 007-01</t>
  </si>
  <si>
    <t>Rozdílový výkaz výměr k návrhu na změnu č. 007-02</t>
  </si>
  <si>
    <t>Rozdílový výkaz výměr k návrhu na změnu č. 007-03</t>
  </si>
  <si>
    <t>B7 - Stoka B7</t>
  </si>
  <si>
    <t>B8 - Stoka B8</t>
  </si>
  <si>
    <t>Rozdílový výkaz výměr k návrhu na změnu č. 007-05</t>
  </si>
  <si>
    <t xml:space="preserve">Zkrácení stoky B3 - úsek Š63a - Š 65 </t>
  </si>
  <si>
    <t>SO 01 Stoka B3</t>
  </si>
  <si>
    <t>Cena dle SOD</t>
  </si>
  <si>
    <t>Vícepráce - méněpráce</t>
  </si>
  <si>
    <t>Číslo pozice</t>
  </si>
  <si>
    <t>J.C .</t>
  </si>
  <si>
    <t>Cena
celkem</t>
  </si>
  <si>
    <t xml:space="preserve">J.C. </t>
  </si>
  <si>
    <t>Cena 
celkem</t>
  </si>
  <si>
    <t>112101R-102</t>
  </si>
  <si>
    <t>Odstranění stromů listnatých nebo jehličnatých průměru kmene do 300 mm včetně odstranění pařezů a rozdrcení větví</t>
  </si>
  <si>
    <t>317,45*1,1+(2-1,1)*3,3</t>
  </si>
  <si>
    <t>0*1,1</t>
  </si>
  <si>
    <t>5*1,1</t>
  </si>
  <si>
    <t>8*1,1</t>
  </si>
  <si>
    <t>10*1,1*0,4</t>
  </si>
  <si>
    <t>(3-1,1)*7*0,4</t>
  </si>
  <si>
    <t>130001101</t>
  </si>
  <si>
    <t>Příplatek za ztížení vykopávky v blízkosti podzemního vedení</t>
  </si>
  <si>
    <t>31,86</t>
  </si>
  <si>
    <t>218,28</t>
  </si>
  <si>
    <t>rozšíření protlak jáma 2x3x4,5 m asf.kom.</t>
  </si>
  <si>
    <t>(2-1,1)*3,3*(4,5-0,42)*0,28</t>
  </si>
  <si>
    <t>rozšíření protlak jáma 3x7x3,5 m voný terén</t>
  </si>
  <si>
    <t>(3-1,1)*7*(3,5-0,4)*0,28</t>
  </si>
  <si>
    <t>218,28*0,3</t>
  </si>
  <si>
    <t>(2-1,1)*3,3*(4,5-0,42)*0,28*0,3</t>
  </si>
  <si>
    <t>(3-1,1)*7*(3,5-0,4)*0,28*0,3</t>
  </si>
  <si>
    <t>350,03</t>
  </si>
  <si>
    <t>(2-1,1)*3,3*(4,5-0,42)*0,449</t>
  </si>
  <si>
    <t>(3-1,1)*7*(3,5-0,4)*0,449</t>
  </si>
  <si>
    <t>350,03*0,3</t>
  </si>
  <si>
    <t>(2-1,1)*3,3*(4,5-0,42)*0,449*0,3</t>
  </si>
  <si>
    <t>(3-1,1)*7*(3,5-0,4)*0,449*0,3</t>
  </si>
  <si>
    <t>155,91</t>
  </si>
  <si>
    <t>(2-1,1)*3,3*(4,5-0,42)*0,2</t>
  </si>
  <si>
    <t>(3-1,1)*7*(3,5-0,4)*0,2</t>
  </si>
  <si>
    <t>55,35</t>
  </si>
  <si>
    <t>(2-1,1)*3,3*(4,5-0,42)*0,071</t>
  </si>
  <si>
    <t>(3-1,1)*7*(3,5-0,4)*0,071</t>
  </si>
  <si>
    <t>141721R-101</t>
  </si>
  <si>
    <t>Vrtaný zemní protlak hloubky do 6 m vnějšího průměru do 500 mm v hornině tř. 5 až 6</t>
  </si>
  <si>
    <t>286134400</t>
  </si>
  <si>
    <t>potrubí kanalizační tlakové PE100 SDR 17, tyče 12 m, 500 x 29,7 mm</t>
  </si>
  <si>
    <t>151101201</t>
  </si>
  <si>
    <t>Zřízení příložného pažení stěn výkopu hl do 4 m</t>
  </si>
  <si>
    <t>(3+7)*2*3,5</t>
  </si>
  <si>
    <t>151101202</t>
  </si>
  <si>
    <t>Zřízení příložného pažení stěn výkopu hl do 8 m</t>
  </si>
  <si>
    <t>(2+3,3)*2*4,5</t>
  </si>
  <si>
    <t>151101211</t>
  </si>
  <si>
    <t>Odstranění příložného pažení stěn hl do 4 m</t>
  </si>
  <si>
    <t>151101212</t>
  </si>
  <si>
    <t>Odstranění příložného pažení stěn hl do 8 m</t>
  </si>
  <si>
    <t>1544,64</t>
  </si>
  <si>
    <t>151811141</t>
  </si>
  <si>
    <t>Osazení pažicího boxu hl výkopu do 6 m š do 1,2 m</t>
  </si>
  <si>
    <t>11,08</t>
  </si>
  <si>
    <t>151811241</t>
  </si>
  <si>
    <t>Odstranění pažicího boxu hl výkopu do 6 m š do 1,2 m</t>
  </si>
  <si>
    <t>VÝKOPKU NA MEZIDEPONII</t>
  </si>
  <si>
    <t>0+218,28+350,03+155,91+55,35</t>
  </si>
  <si>
    <t>(2-1,1)*3,3*(4,5-0,42)</t>
  </si>
  <si>
    <t>(3-1,1)*7*(3,5-0,4)</t>
  </si>
  <si>
    <t>VÝKOPKU  K ZÁSYPU POTRUBÍ A OBSYPU ŠACHET</t>
  </si>
  <si>
    <t>443,49+51,35</t>
  </si>
  <si>
    <t>PŘEBYTEČNÁ ZEMINA NA TRVALOU SKLÁDKU</t>
  </si>
  <si>
    <t>281,4</t>
  </si>
  <si>
    <t>281,4*2 'Přepočtené koeficientem množství</t>
  </si>
  <si>
    <t>ZÁSYP RÝH VÝKOPKEM</t>
  </si>
  <si>
    <t>443,49</t>
  </si>
  <si>
    <t>OBSYP ŠACHET VYTĚŽENOU ZEMINOU</t>
  </si>
  <si>
    <t>51,35</t>
  </si>
  <si>
    <t>ZÁSYP VÝKOPU VÝMĚNA ZEMINY ZA ŠD</t>
  </si>
  <si>
    <t>0</t>
  </si>
  <si>
    <t>185,57</t>
  </si>
  <si>
    <t>185,57*2 'Přepočtené koeficientem množství</t>
  </si>
  <si>
    <t>10*1,1</t>
  </si>
  <si>
    <t>(3-1,1)*7</t>
  </si>
  <si>
    <t>0+311,27+0+0</t>
  </si>
  <si>
    <t>0,38</t>
  </si>
  <si>
    <t>452112111</t>
  </si>
  <si>
    <t>Osazení betonových prstenců nebo rámů v do 100 mm</t>
  </si>
  <si>
    <t>59224013</t>
  </si>
  <si>
    <t>prstenec betonový vyrovnávací ke krytu šachty 62,5x10x10 cm</t>
  </si>
  <si>
    <t>59224012</t>
  </si>
  <si>
    <t>prstenec betonový vyrovnávací ke krytu šachty 62,5x8x10 cm</t>
  </si>
  <si>
    <t>59224011</t>
  </si>
  <si>
    <t>prstenec betonový vyrovnávací ke krytu šachty 62,5x6x10 cm</t>
  </si>
  <si>
    <t>59224010</t>
  </si>
  <si>
    <t>prstenec betonový vyrovnávací ke krytu šachty 62,5x4x10 cm</t>
  </si>
  <si>
    <t>452112121</t>
  </si>
  <si>
    <t>Osazení betonových prstenců nebo rámů v do 200 mm</t>
  </si>
  <si>
    <t>592MAT-104</t>
  </si>
  <si>
    <t>prstenec betonový vyrovnávací 62,5x12 ( nebo spádový)</t>
  </si>
  <si>
    <t>452311131</t>
  </si>
  <si>
    <t>Podkladní desky z betonu prostého tř. C 12/15 otevřený výkop</t>
  </si>
  <si>
    <t>32,75</t>
  </si>
  <si>
    <t>9,84</t>
  </si>
  <si>
    <t>3,33</t>
  </si>
  <si>
    <t>831362121</t>
  </si>
  <si>
    <t>Montáž potrubí z trub kameninových hrdlových s integrovaným těsněním výkop sklon do 20 % DN 250</t>
  </si>
  <si>
    <t>311,27</t>
  </si>
  <si>
    <t>RB0002516C25</t>
  </si>
  <si>
    <t>trouba kameninová glazovaná DN250mm L2,50m spojovací systém C Třida 160</t>
  </si>
  <si>
    <t>P-RING-0250N</t>
  </si>
  <si>
    <t>P kroužky DN 250 třída 160</t>
  </si>
  <si>
    <t>5+0+12</t>
  </si>
  <si>
    <t>837361221</t>
  </si>
  <si>
    <t>Montáž kameninových tvarovek odbočných s integrovaným těsněním otevřený výkop DN 250</t>
  </si>
  <si>
    <t>5+0</t>
  </si>
  <si>
    <t>AB0251516CF2</t>
  </si>
  <si>
    <t>odbočka kameninová glazovaná jednoduchá kolmá DN250/150 L50cm spojovací systém C/F tř.160/-</t>
  </si>
  <si>
    <t>5*1,015 'Přepočtené koeficientem množství</t>
  </si>
  <si>
    <t>837362221</t>
  </si>
  <si>
    <t>Montáž kameninových tvarovek jednoosých s integrovaným těsněním otevřený výkop DN 250</t>
  </si>
  <si>
    <t>11+12</t>
  </si>
  <si>
    <t>GZ0002516C06</t>
  </si>
  <si>
    <t>trouba kameninová glazovaná zkrácená GZ DN250mm L60(75)cm třída 160 spojovací systém C</t>
  </si>
  <si>
    <t>12*1,015 'Přepočtené koeficientem množství</t>
  </si>
  <si>
    <t>GA0002516C06</t>
  </si>
  <si>
    <t>trouba kameninová glazovaná zkrácená GA DN250mm L60(75)cm třída 160 spojovací systém C</t>
  </si>
  <si>
    <t>11*1,015 'Přepočtené koeficientem množství</t>
  </si>
  <si>
    <t>851361131</t>
  </si>
  <si>
    <t>Montáž potrubí z trub litinových hrdlových s integrovaným těsněním otevřený výkop DN 250</t>
  </si>
  <si>
    <t>55253005.1</t>
  </si>
  <si>
    <t xml:space="preserve">trouba kanalizační litinová hrdlová DN 250 s násuvným jištěným hrdlovým spojem BLS tř.K9 resp.Class 64 dle ČSN EN 545 - viz 5.1 TPVS </t>
  </si>
  <si>
    <t>63</t>
  </si>
  <si>
    <t>894411311</t>
  </si>
  <si>
    <t>Osazení železobetonových dílců pro šachty skruží rovných</t>
  </si>
  <si>
    <t>64</t>
  </si>
  <si>
    <t>59224070</t>
  </si>
  <si>
    <t>skruž betonová DN 1000x1000 PS, 100x100x12 cm</t>
  </si>
  <si>
    <t>59224068</t>
  </si>
  <si>
    <t>skruž betonová DN 1000x500 PS, 100x50x12 cm</t>
  </si>
  <si>
    <t>59224066</t>
  </si>
  <si>
    <t>skruž betonová DN 1000x250 PS, 100x25x12 cm</t>
  </si>
  <si>
    <t>59224348</t>
  </si>
  <si>
    <t>těsnění elastomerové pro spojení šachetních dílů DN 1000</t>
  </si>
  <si>
    <t>894412411</t>
  </si>
  <si>
    <t>Osazení železobetonových dílců pro šachty skruží přechodových</t>
  </si>
  <si>
    <t>69</t>
  </si>
  <si>
    <t>59224168</t>
  </si>
  <si>
    <t>skruž betonová přechodová 62,5/100x60x12 cm, stupadla poplastovaná kapsová</t>
  </si>
  <si>
    <t>894414111</t>
  </si>
  <si>
    <t>Osazení železobetonových dílců pro šachty skruží základových (dno)</t>
  </si>
  <si>
    <t>592MAT-101</t>
  </si>
  <si>
    <t>dno betonové šachtové čedičový žlab i nástupnice  dle TP 1.9. VAK MB a.s.- čl.3.19</t>
  </si>
  <si>
    <t>72</t>
  </si>
  <si>
    <t>899104111</t>
  </si>
  <si>
    <t>Osazení poklopů litinových nebo ocelových včetně rámů pro třídu zatížení D400, E600</t>
  </si>
  <si>
    <t>73</t>
  </si>
  <si>
    <t>552MAT-107</t>
  </si>
  <si>
    <t>šachtový poklop s rámem kruhový DN600 (třída D400) – z tvárné litiny,  dle TP 1.9. VAK MB a.s.- čl.3.22</t>
  </si>
  <si>
    <t>899911151</t>
  </si>
  <si>
    <t>Kluzná objímka výšky 90 mm vnějšího průměru potrubí do 267 mm</t>
  </si>
  <si>
    <t>899913165</t>
  </si>
  <si>
    <t>Uzavírací manžeta chráničky potrubí DN 300 x 500</t>
  </si>
  <si>
    <t>77</t>
  </si>
  <si>
    <t>(317,45+0)*2</t>
  </si>
  <si>
    <t>78</t>
  </si>
  <si>
    <t>81</t>
  </si>
  <si>
    <t>0*1,1*0,32</t>
  </si>
  <si>
    <t>0*1,1*0,17</t>
  </si>
  <si>
    <t>0*1,1*0,29</t>
  </si>
  <si>
    <t>(0)*1,1*0,29</t>
  </si>
  <si>
    <t>317,45*1,1*0,44+(2-1,1)*3,3*0,44</t>
  </si>
  <si>
    <t>0*1,1*0,44</t>
  </si>
  <si>
    <t>0*1,1*0,58</t>
  </si>
  <si>
    <t>82</t>
  </si>
  <si>
    <t>Změna celkem</t>
  </si>
  <si>
    <t xml:space="preserve">Správce stavby:        </t>
  </si>
  <si>
    <t xml:space="preserve">Dne:        </t>
  </si>
  <si>
    <t>Rozdílový výkaz výměr k návrhu na změnu č. 007-06</t>
  </si>
  <si>
    <t>Rozdílový výkaz výměr k návrhu na změnu č. 007-07</t>
  </si>
  <si>
    <t>CELKEM V - Veřejná část gravitačních přípojek</t>
  </si>
  <si>
    <t xml:space="preserve">Provizorní oprava komunikace Písková Lhota - KSC - C, C2 </t>
  </si>
  <si>
    <t>ZL 007-07</t>
  </si>
  <si>
    <t>Objekt : 1 -  Oprava místní komunikace provizorně z KSC tl. 100 mm - stoka C2 a C délky 349 bm, šířky 1,1 m</t>
  </si>
  <si>
    <t>001</t>
  </si>
  <si>
    <t xml:space="preserve"> Odstranění  podkladu - zásypy rýhy tl 100mm</t>
  </si>
  <si>
    <t>002</t>
  </si>
  <si>
    <t>Vodorovné přemístění výkopku/sypaniny na  skládku vč. skládkovného</t>
  </si>
  <si>
    <t>003</t>
  </si>
  <si>
    <t>004</t>
  </si>
  <si>
    <t>Přehutnění  rýhy</t>
  </si>
  <si>
    <t>005</t>
  </si>
  <si>
    <t>Podklad ze směsi stmelené cementem SC  C 8/10(KSC I)tl 100mm</t>
  </si>
  <si>
    <t>CELKEM</t>
  </si>
  <si>
    <t>Písková Lhota, výstavba kanalizace - místní komunikace</t>
  </si>
  <si>
    <t>Dne:                                                                            Dne:</t>
  </si>
  <si>
    <t>Správce stavby:                                       Autorský dozor: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</si>
</sst>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#,##0.00\ _K_č;[Red]\-#,##0.00\ _K_č"/>
    <numFmt numFmtId="166" formatCode="#,##0.00\ _K_č"/>
    <numFmt numFmtId="167" formatCode="#,##0.00\ [$€-1]"/>
    <numFmt numFmtId="168" formatCode="#,##0.000"/>
    <numFmt numFmtId="169" formatCode="0_ ;\-0\ "/>
    <numFmt numFmtId="170" formatCode="_-* #,##0.00\ _K_č_-;\-* #,##0.00\ _K_č_-;_-* &quot;-&quot;??\ _K_č_-;_-@_-"/>
    <numFmt numFmtId="171" formatCode="#,##0.00\ &quot;Kč&quot;"/>
    <numFmt numFmtId="172" formatCode="#,##0.00_ ;\-#,##0.00\ "/>
  </numFmts>
  <fonts count="8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60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9"/>
      <color rgb="FFC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50505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8"/>
      <color rgb="FF0000FF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name val="Arial CE"/>
      <family val="2"/>
      <charset val="238"/>
    </font>
    <font>
      <b/>
      <sz val="12"/>
      <color rgb="FF960000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336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rgb="FF0000FF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8000"/>
      <name val="Arial"/>
      <family val="2"/>
      <charset val="238"/>
    </font>
    <font>
      <i/>
      <sz val="9"/>
      <color theme="4"/>
      <name val="Arial"/>
      <family val="2"/>
      <charset val="238"/>
    </font>
    <font>
      <i/>
      <sz val="8"/>
      <color rgb="FF0070C0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8000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17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color indexed="60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969696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" fillId="0" borderId="0"/>
    <xf numFmtId="43" fontId="1" fillId="0" borderId="0" applyFont="0" applyFill="0" applyBorder="0" applyAlignment="0" applyProtection="0"/>
  </cellStyleXfs>
  <cellXfs count="464">
    <xf numFmtId="0" fontId="0" fillId="0" borderId="0" xfId="0"/>
    <xf numFmtId="0" fontId="4" fillId="0" borderId="0" xfId="0" applyFont="1" applyAlignment="1">
      <alignment horizontal="center" vertical="center"/>
    </xf>
    <xf numFmtId="164" fontId="6" fillId="0" borderId="0" xfId="1" applyNumberFormat="1" applyFont="1" applyAlignment="1">
      <alignment horizontal="right"/>
    </xf>
    <xf numFmtId="42" fontId="8" fillId="0" borderId="0" xfId="2" applyNumberFormat="1" applyFont="1" applyAlignment="1">
      <alignment horizontal="left"/>
    </xf>
    <xf numFmtId="0" fontId="9" fillId="0" borderId="0" xfId="3" applyFont="1"/>
    <xf numFmtId="44" fontId="10" fillId="0" borderId="0" xfId="3" applyNumberFormat="1" applyFont="1"/>
    <xf numFmtId="42" fontId="7" fillId="0" borderId="0" xfId="2" applyNumberFormat="1"/>
    <xf numFmtId="0" fontId="6" fillId="0" borderId="0" xfId="2" applyFont="1" applyAlignment="1">
      <alignment horizontal="right"/>
    </xf>
    <xf numFmtId="42" fontId="6" fillId="0" borderId="0" xfId="0" applyNumberFormat="1" applyFont="1" applyAlignment="1">
      <alignment horizontal="left" vertical="center"/>
    </xf>
    <xf numFmtId="42" fontId="6" fillId="0" borderId="0" xfId="0" applyNumberFormat="1" applyFont="1"/>
    <xf numFmtId="0" fontId="11" fillId="0" borderId="0" xfId="2" applyFont="1"/>
    <xf numFmtId="44" fontId="12" fillId="0" borderId="0" xfId="2" applyNumberFormat="1" applyFont="1"/>
    <xf numFmtId="42" fontId="6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6" fontId="0" fillId="0" borderId="1" xfId="0" applyNumberFormat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6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0" fontId="18" fillId="0" borderId="0" xfId="0" applyFont="1" applyAlignment="1">
      <alignment horizontal="right"/>
    </xf>
    <xf numFmtId="166" fontId="18" fillId="0" borderId="0" xfId="0" applyNumberFormat="1" applyFont="1"/>
    <xf numFmtId="166" fontId="19" fillId="0" borderId="0" xfId="0" applyNumberFormat="1" applyFont="1"/>
    <xf numFmtId="166" fontId="20" fillId="0" borderId="0" xfId="0" applyNumberFormat="1" applyFont="1"/>
    <xf numFmtId="0" fontId="18" fillId="0" borderId="0" xfId="3" applyFont="1" applyAlignment="1">
      <alignment horizontal="right" vertical="center"/>
    </xf>
    <xf numFmtId="0" fontId="18" fillId="0" borderId="0" xfId="3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21" fillId="0" borderId="0" xfId="3" applyFont="1" applyAlignment="1">
      <alignment horizontal="right" vertical="center"/>
    </xf>
    <xf numFmtId="167" fontId="18" fillId="0" borderId="0" xfId="3" applyNumberFormat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0" borderId="0" xfId="3"/>
    <xf numFmtId="4" fontId="6" fillId="0" borderId="0" xfId="3" applyNumberFormat="1"/>
    <xf numFmtId="0" fontId="22" fillId="0" borderId="0" xfId="3" applyFont="1"/>
    <xf numFmtId="0" fontId="6" fillId="3" borderId="0" xfId="3" applyFill="1"/>
    <xf numFmtId="0" fontId="23" fillId="0" borderId="0" xfId="3" applyFont="1"/>
    <xf numFmtId="0" fontId="11" fillId="0" borderId="0" xfId="4" applyFont="1"/>
    <xf numFmtId="42" fontId="7" fillId="0" borderId="0" xfId="4" applyNumberFormat="1"/>
    <xf numFmtId="0" fontId="24" fillId="0" borderId="0" xfId="3" applyFont="1"/>
    <xf numFmtId="44" fontId="24" fillId="0" borderId="0" xfId="3" applyNumberFormat="1" applyFont="1"/>
    <xf numFmtId="44" fontId="24" fillId="3" borderId="0" xfId="3" applyNumberFormat="1" applyFont="1" applyFill="1"/>
    <xf numFmtId="0" fontId="24" fillId="3" borderId="0" xfId="3" applyFont="1" applyFill="1"/>
    <xf numFmtId="44" fontId="25" fillId="0" borderId="0" xfId="3" applyNumberFormat="1" applyFont="1"/>
    <xf numFmtId="0" fontId="26" fillId="0" borderId="0" xfId="3" applyFont="1"/>
    <xf numFmtId="167" fontId="26" fillId="0" borderId="0" xfId="3" applyNumberFormat="1" applyFont="1"/>
    <xf numFmtId="0" fontId="27" fillId="0" borderId="0" xfId="3" applyFont="1"/>
    <xf numFmtId="44" fontId="12" fillId="0" borderId="0" xfId="4" applyNumberFormat="1" applyFont="1"/>
    <xf numFmtId="0" fontId="28" fillId="0" borderId="0" xfId="4" applyFont="1"/>
    <xf numFmtId="44" fontId="28" fillId="0" borderId="0" xfId="4" applyNumberFormat="1" applyFont="1"/>
    <xf numFmtId="44" fontId="28" fillId="3" borderId="0" xfId="4" applyNumberFormat="1" applyFont="1" applyFill="1"/>
    <xf numFmtId="0" fontId="28" fillId="3" borderId="0" xfId="4" applyFont="1" applyFill="1"/>
    <xf numFmtId="44" fontId="29" fillId="0" borderId="0" xfId="4" applyNumberFormat="1" applyFont="1"/>
    <xf numFmtId="0" fontId="30" fillId="0" borderId="0" xfId="4" applyFont="1"/>
    <xf numFmtId="167" fontId="30" fillId="0" borderId="0" xfId="4" applyNumberFormat="1" applyFont="1"/>
    <xf numFmtId="0" fontId="31" fillId="0" borderId="0" xfId="4" applyFont="1"/>
    <xf numFmtId="42" fontId="6" fillId="0" borderId="0" xfId="3" applyNumberFormat="1" applyAlignment="1">
      <alignment horizontal="left"/>
    </xf>
    <xf numFmtId="0" fontId="32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3" fillId="0" borderId="2" xfId="0" applyFont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0" fontId="33" fillId="4" borderId="3" xfId="0" applyFont="1" applyFill="1" applyBorder="1" applyAlignment="1" applyProtection="1">
      <alignment horizontal="center" vertical="center" wrapText="1"/>
      <protection locked="0"/>
    </xf>
    <xf numFmtId="0" fontId="33" fillId="4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0" fillId="5" borderId="0" xfId="0" applyFill="1" applyAlignment="1">
      <alignment vertical="center"/>
    </xf>
    <xf numFmtId="4" fontId="34" fillId="0" borderId="0" xfId="0" applyNumberFormat="1" applyFont="1"/>
    <xf numFmtId="0" fontId="35" fillId="0" borderId="0" xfId="0" applyFont="1"/>
    <xf numFmtId="0" fontId="35" fillId="5" borderId="0" xfId="0" applyFont="1" applyFill="1" applyAlignment="1">
      <alignment horizontal="left"/>
    </xf>
    <xf numFmtId="0" fontId="36" fillId="0" borderId="0" xfId="0" applyFont="1" applyAlignment="1">
      <alignment horizontal="left"/>
    </xf>
    <xf numFmtId="0" fontId="35" fillId="0" borderId="0" xfId="0" applyFont="1" applyProtection="1">
      <protection locked="0"/>
    </xf>
    <xf numFmtId="4" fontId="36" fillId="0" borderId="0" xfId="0" applyNumberFormat="1" applyFont="1"/>
    <xf numFmtId="0" fontId="37" fillId="0" borderId="0" xfId="0" applyFont="1" applyAlignment="1">
      <alignment horizontal="left"/>
    </xf>
    <xf numFmtId="4" fontId="37" fillId="0" borderId="0" xfId="0" applyNumberFormat="1" applyFont="1"/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39" fillId="0" borderId="8" xfId="5" applyNumberFormat="1" applyFont="1" applyBorder="1" applyAlignment="1">
      <alignment horizontal="center" vertical="center"/>
    </xf>
    <xf numFmtId="4" fontId="39" fillId="0" borderId="9" xfId="5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35" fillId="0" borderId="5" xfId="0" applyFont="1" applyBorder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" fontId="39" fillId="0" borderId="12" xfId="5" applyNumberFormat="1" applyFont="1" applyBorder="1" applyAlignment="1">
      <alignment horizontal="center" vertical="center"/>
    </xf>
    <xf numFmtId="4" fontId="39" fillId="0" borderId="13" xfId="5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14" xfId="0" applyNumberFormat="1" applyBorder="1" applyAlignment="1">
      <alignment vertical="center"/>
    </xf>
    <xf numFmtId="4" fontId="0" fillId="0" borderId="14" xfId="0" applyNumberFormat="1" applyBorder="1" applyAlignment="1" applyProtection="1">
      <alignment vertical="center"/>
      <protection locked="0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4" fontId="40" fillId="0" borderId="0" xfId="0" applyNumberFormat="1" applyFont="1" applyAlignment="1">
      <alignment vertical="center"/>
    </xf>
    <xf numFmtId="0" fontId="40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4" fontId="42" fillId="0" borderId="0" xfId="0" applyNumberFormat="1" applyFont="1" applyAlignment="1">
      <alignment vertical="center"/>
    </xf>
    <xf numFmtId="0" fontId="42" fillId="0" borderId="0" xfId="0" applyFont="1" applyAlignment="1" applyProtection="1">
      <alignment vertical="center"/>
      <protection locked="0"/>
    </xf>
    <xf numFmtId="4" fontId="0" fillId="0" borderId="12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40" fillId="0" borderId="5" xfId="0" applyFont="1" applyBorder="1" applyAlignment="1">
      <alignment vertical="center"/>
    </xf>
    <xf numFmtId="0" fontId="40" fillId="0" borderId="12" xfId="0" applyFont="1" applyBorder="1" applyAlignment="1">
      <alignment vertical="center"/>
    </xf>
    <xf numFmtId="0" fontId="40" fillId="0" borderId="1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2" fillId="0" borderId="5" xfId="0" applyFont="1" applyBorder="1" applyAlignment="1">
      <alignment vertical="center"/>
    </xf>
    <xf numFmtId="0" fontId="35" fillId="0" borderId="12" xfId="0" applyFont="1" applyBorder="1"/>
    <xf numFmtId="0" fontId="35" fillId="0" borderId="13" xfId="0" applyFont="1" applyBorder="1"/>
    <xf numFmtId="0" fontId="0" fillId="0" borderId="15" xfId="0" applyBorder="1" applyAlignment="1">
      <alignment vertical="center"/>
    </xf>
    <xf numFmtId="0" fontId="0" fillId="0" borderId="15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2" fillId="0" borderId="12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" fontId="0" fillId="0" borderId="16" xfId="0" applyNumberFormat="1" applyBorder="1" applyAlignment="1">
      <alignment vertical="center"/>
    </xf>
    <xf numFmtId="4" fontId="0" fillId="0" borderId="17" xfId="0" applyNumberFormat="1" applyBorder="1" applyAlignment="1">
      <alignment vertical="center"/>
    </xf>
    <xf numFmtId="0" fontId="6" fillId="0" borderId="0" xfId="3" applyFill="1"/>
    <xf numFmtId="0" fontId="11" fillId="0" borderId="0" xfId="4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33" fillId="0" borderId="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0" fontId="0" fillId="0" borderId="14" xfId="0" applyFill="1" applyBorder="1" applyAlignment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0" fillId="0" borderId="15" xfId="0" applyFill="1" applyBorder="1" applyAlignment="1">
      <alignment vertical="center"/>
    </xf>
    <xf numFmtId="0" fontId="33" fillId="4" borderId="2" xfId="0" applyFont="1" applyFill="1" applyBorder="1" applyAlignment="1">
      <alignment horizontal="center" vertical="center" wrapText="1"/>
    </xf>
    <xf numFmtId="4" fontId="0" fillId="6" borderId="18" xfId="0" applyNumberFormat="1" applyFill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39" fillId="0" borderId="20" xfId="5" applyNumberFormat="1" applyFont="1" applyBorder="1" applyAlignment="1">
      <alignment horizontal="center" vertical="center"/>
    </xf>
    <xf numFmtId="4" fontId="39" fillId="0" borderId="21" xfId="5" applyNumberFormat="1" applyFont="1" applyBorder="1" applyAlignment="1">
      <alignment horizontal="center" vertical="center"/>
    </xf>
    <xf numFmtId="4" fontId="0" fillId="0" borderId="18" xfId="0" applyNumberFormat="1" applyBorder="1" applyAlignment="1">
      <alignment vertical="center"/>
    </xf>
    <xf numFmtId="4" fontId="43" fillId="5" borderId="22" xfId="0" applyNumberFormat="1" applyFont="1" applyFill="1" applyBorder="1" applyAlignment="1">
      <alignment vertical="center"/>
    </xf>
    <xf numFmtId="4" fontId="40" fillId="0" borderId="12" xfId="0" applyNumberFormat="1" applyFont="1" applyBorder="1" applyAlignment="1">
      <alignment vertical="center"/>
    </xf>
    <xf numFmtId="4" fontId="40" fillId="0" borderId="13" xfId="0" applyNumberFormat="1" applyFont="1" applyBorder="1" applyAlignment="1">
      <alignment vertical="center"/>
    </xf>
    <xf numFmtId="0" fontId="34" fillId="5" borderId="0" xfId="0" applyFont="1" applyFill="1" applyAlignment="1">
      <alignment horizontal="left" vertical="center"/>
    </xf>
    <xf numFmtId="0" fontId="35" fillId="5" borderId="0" xfId="0" applyFont="1" applyFill="1"/>
    <xf numFmtId="0" fontId="0" fillId="7" borderId="14" xfId="0" applyFill="1" applyBorder="1" applyAlignment="1">
      <alignment horizontal="center" vertical="center"/>
    </xf>
    <xf numFmtId="49" fontId="0" fillId="7" borderId="14" xfId="0" applyNumberFormat="1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center" vertical="center" wrapText="1"/>
    </xf>
    <xf numFmtId="4" fontId="0" fillId="7" borderId="14" xfId="0" applyNumberFormat="1" applyFill="1" applyBorder="1" applyAlignment="1">
      <alignment vertical="center"/>
    </xf>
    <xf numFmtId="4" fontId="0" fillId="7" borderId="14" xfId="0" applyNumberFormat="1" applyFill="1" applyBorder="1" applyAlignment="1" applyProtection="1">
      <alignment vertical="center"/>
      <protection locked="0"/>
    </xf>
    <xf numFmtId="0" fontId="0" fillId="8" borderId="14" xfId="0" applyFill="1" applyBorder="1" applyAlignment="1">
      <alignment horizontal="center" vertical="center"/>
    </xf>
    <xf numFmtId="49" fontId="0" fillId="8" borderId="14" xfId="0" applyNumberFormat="1" applyFill="1" applyBorder="1" applyAlignment="1">
      <alignment horizontal="left" vertical="center" wrapText="1"/>
    </xf>
    <xf numFmtId="0" fontId="0" fillId="8" borderId="14" xfId="0" applyFill="1" applyBorder="1" applyAlignment="1">
      <alignment horizontal="left" vertical="center" wrapText="1"/>
    </xf>
    <xf numFmtId="0" fontId="0" fillId="8" borderId="14" xfId="0" applyFill="1" applyBorder="1" applyAlignment="1">
      <alignment horizontal="center" vertical="center" wrapText="1"/>
    </xf>
    <xf numFmtId="4" fontId="0" fillId="8" borderId="14" xfId="0" applyNumberFormat="1" applyFill="1" applyBorder="1" applyAlignment="1">
      <alignment vertical="center"/>
    </xf>
    <xf numFmtId="4" fontId="0" fillId="8" borderId="14" xfId="0" applyNumberFormat="1" applyFill="1" applyBorder="1" applyAlignment="1" applyProtection="1">
      <alignment vertical="center"/>
      <protection locked="0"/>
    </xf>
    <xf numFmtId="0" fontId="44" fillId="0" borderId="0" xfId="0" applyFont="1"/>
    <xf numFmtId="4" fontId="39" fillId="0" borderId="1" xfId="6" applyNumberFormat="1" applyFont="1" applyBorder="1" applyAlignment="1">
      <alignment horizontal="center" vertical="center"/>
    </xf>
    <xf numFmtId="4" fontId="0" fillId="0" borderId="23" xfId="0" applyNumberFormat="1" applyBorder="1" applyAlignment="1">
      <alignment vertical="center"/>
    </xf>
    <xf numFmtId="4" fontId="43" fillId="0" borderId="22" xfId="0" applyNumberFormat="1" applyFont="1" applyBorder="1" applyAlignment="1">
      <alignment vertical="center"/>
    </xf>
    <xf numFmtId="4" fontId="39" fillId="0" borderId="24" xfId="6" applyNumberFormat="1" applyFont="1" applyBorder="1" applyAlignment="1">
      <alignment horizontal="center" vertical="center"/>
    </xf>
    <xf numFmtId="4" fontId="39" fillId="0" borderId="25" xfId="6" applyNumberFormat="1" applyFont="1" applyBorder="1" applyAlignment="1">
      <alignment horizontal="center" vertical="center"/>
    </xf>
    <xf numFmtId="4" fontId="40" fillId="0" borderId="24" xfId="0" applyNumberFormat="1" applyFont="1" applyBorder="1" applyAlignment="1">
      <alignment vertical="center"/>
    </xf>
    <xf numFmtId="4" fontId="0" fillId="0" borderId="25" xfId="0" applyNumberFormat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9" fillId="0" borderId="1" xfId="5" applyNumberFormat="1" applyFont="1" applyBorder="1" applyAlignment="1">
      <alignment horizontal="center" vertical="center"/>
    </xf>
    <xf numFmtId="4" fontId="39" fillId="0" borderId="26" xfId="5" applyNumberFormat="1" applyFont="1" applyBorder="1" applyAlignment="1">
      <alignment horizontal="center" vertical="center"/>
    </xf>
    <xf numFmtId="4" fontId="39" fillId="0" borderId="24" xfId="5" applyNumberFormat="1" applyFont="1" applyBorder="1" applyAlignment="1">
      <alignment horizontal="center" vertical="center"/>
    </xf>
    <xf numFmtId="4" fontId="39" fillId="0" borderId="25" xfId="5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vertical="center"/>
    </xf>
    <xf numFmtId="4" fontId="40" fillId="0" borderId="25" xfId="0" applyNumberFormat="1" applyFont="1" applyBorder="1" applyAlignment="1">
      <alignment vertical="center"/>
    </xf>
    <xf numFmtId="4" fontId="35" fillId="0" borderId="24" xfId="0" applyNumberFormat="1" applyFont="1" applyBorder="1"/>
    <xf numFmtId="4" fontId="35" fillId="0" borderId="25" xfId="0" applyNumberFormat="1" applyFont="1" applyBorder="1"/>
    <xf numFmtId="0" fontId="35" fillId="9" borderId="0" xfId="0" applyFont="1" applyFill="1" applyAlignment="1">
      <alignment horizontal="left"/>
    </xf>
    <xf numFmtId="0" fontId="0" fillId="9" borderId="14" xfId="0" applyFill="1" applyBorder="1" applyAlignment="1">
      <alignment horizontal="center" vertical="center"/>
    </xf>
    <xf numFmtId="0" fontId="41" fillId="9" borderId="0" xfId="0" applyFont="1" applyFill="1" applyAlignment="1">
      <alignment horizontal="left" vertical="center"/>
    </xf>
    <xf numFmtId="0" fontId="47" fillId="0" borderId="14" xfId="0" applyFont="1" applyBorder="1" applyAlignment="1">
      <alignment horizontal="center" vertical="center"/>
    </xf>
    <xf numFmtId="0" fontId="47" fillId="9" borderId="14" xfId="0" applyFont="1" applyFill="1" applyBorder="1" applyAlignment="1">
      <alignment horizontal="center" vertical="center"/>
    </xf>
    <xf numFmtId="49" fontId="47" fillId="0" borderId="14" xfId="0" applyNumberFormat="1" applyFont="1" applyBorder="1" applyAlignment="1">
      <alignment horizontal="left" vertical="center" wrapText="1"/>
    </xf>
    <xf numFmtId="0" fontId="47" fillId="0" borderId="14" xfId="0" applyFont="1" applyBorder="1" applyAlignment="1">
      <alignment horizontal="left" vertical="center" wrapText="1"/>
    </xf>
    <xf numFmtId="0" fontId="47" fillId="0" borderId="14" xfId="0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vertical="center"/>
    </xf>
    <xf numFmtId="4" fontId="47" fillId="0" borderId="14" xfId="0" applyNumberFormat="1" applyFont="1" applyBorder="1" applyAlignment="1" applyProtection="1">
      <alignment vertical="center"/>
      <protection locked="0"/>
    </xf>
    <xf numFmtId="4" fontId="0" fillId="9" borderId="14" xfId="0" applyNumberFormat="1" applyFill="1" applyBorder="1" applyAlignment="1" applyProtection="1">
      <alignment vertical="center"/>
      <protection locked="0"/>
    </xf>
    <xf numFmtId="4" fontId="38" fillId="0" borderId="13" xfId="5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4" fontId="0" fillId="0" borderId="0" xfId="0" applyNumberFormat="1"/>
    <xf numFmtId="0" fontId="47" fillId="0" borderId="5" xfId="0" applyFont="1" applyBorder="1" applyAlignment="1">
      <alignment vertical="center"/>
    </xf>
    <xf numFmtId="4" fontId="35" fillId="0" borderId="12" xfId="0" applyNumberFormat="1" applyFont="1" applyBorder="1"/>
    <xf numFmtId="0" fontId="48" fillId="0" borderId="3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0" fillId="9" borderId="0" xfId="0" applyFill="1" applyAlignment="1">
      <alignment vertical="center"/>
    </xf>
    <xf numFmtId="4" fontId="39" fillId="0" borderId="29" xfId="5" applyNumberFormat="1" applyFont="1" applyBorder="1" applyAlignment="1">
      <alignment horizontal="center" vertical="center"/>
    </xf>
    <xf numFmtId="4" fontId="39" fillId="0" borderId="30" xfId="5" applyNumberFormat="1" applyFont="1" applyBorder="1" applyAlignment="1">
      <alignment horizontal="center" vertical="center"/>
    </xf>
    <xf numFmtId="4" fontId="43" fillId="0" borderId="31" xfId="0" applyNumberFormat="1" applyFont="1" applyBorder="1" applyAlignment="1">
      <alignment vertical="center"/>
    </xf>
    <xf numFmtId="4" fontId="40" fillId="0" borderId="18" xfId="0" applyNumberFormat="1" applyFont="1" applyBorder="1" applyAlignment="1">
      <alignment vertical="center"/>
    </xf>
    <xf numFmtId="4" fontId="0" fillId="0" borderId="19" xfId="0" applyNumberFormat="1" applyBorder="1" applyAlignment="1">
      <alignment vertical="center"/>
    </xf>
    <xf numFmtId="4" fontId="40" fillId="0" borderId="16" xfId="0" applyNumberFormat="1" applyFont="1" applyBorder="1" applyAlignment="1">
      <alignment vertical="center"/>
    </xf>
    <xf numFmtId="4" fontId="42" fillId="0" borderId="12" xfId="0" applyNumberFormat="1" applyFont="1" applyBorder="1" applyAlignment="1">
      <alignment vertical="center"/>
    </xf>
    <xf numFmtId="4" fontId="42" fillId="0" borderId="13" xfId="0" applyNumberFormat="1" applyFont="1" applyBorder="1" applyAlignment="1">
      <alignment vertical="center"/>
    </xf>
    <xf numFmtId="4" fontId="0" fillId="2" borderId="14" xfId="0" applyNumberFormat="1" applyFill="1" applyBorder="1" applyAlignment="1" applyProtection="1">
      <alignment vertical="center"/>
      <protection locked="0"/>
    </xf>
    <xf numFmtId="0" fontId="0" fillId="11" borderId="14" xfId="0" applyFill="1" applyBorder="1" applyAlignment="1">
      <alignment horizontal="center" vertical="center"/>
    </xf>
    <xf numFmtId="49" fontId="0" fillId="11" borderId="14" xfId="0" applyNumberFormat="1" applyFill="1" applyBorder="1" applyAlignment="1">
      <alignment horizontal="left" vertical="center" wrapText="1"/>
    </xf>
    <xf numFmtId="0" fontId="0" fillId="11" borderId="14" xfId="0" applyFill="1" applyBorder="1" applyAlignment="1">
      <alignment horizontal="left" vertical="center" wrapText="1"/>
    </xf>
    <xf numFmtId="0" fontId="0" fillId="11" borderId="14" xfId="0" applyFill="1" applyBorder="1" applyAlignment="1">
      <alignment horizontal="center" vertical="center" wrapText="1"/>
    </xf>
    <xf numFmtId="4" fontId="0" fillId="11" borderId="14" xfId="0" applyNumberFormat="1" applyFill="1" applyBorder="1" applyAlignment="1">
      <alignment vertical="center"/>
    </xf>
    <xf numFmtId="4" fontId="0" fillId="11" borderId="14" xfId="0" applyNumberFormat="1" applyFill="1" applyBorder="1" applyAlignment="1" applyProtection="1">
      <alignment vertical="center"/>
      <protection locked="0"/>
    </xf>
    <xf numFmtId="0" fontId="0" fillId="12" borderId="14" xfId="0" applyFill="1" applyBorder="1" applyAlignment="1">
      <alignment horizontal="center" vertical="center"/>
    </xf>
    <xf numFmtId="49" fontId="0" fillId="12" borderId="14" xfId="0" applyNumberFormat="1" applyFill="1" applyBorder="1" applyAlignment="1">
      <alignment horizontal="left" vertical="center" wrapText="1"/>
    </xf>
    <xf numFmtId="0" fontId="0" fillId="12" borderId="14" xfId="0" applyFill="1" applyBorder="1" applyAlignment="1">
      <alignment horizontal="left" vertical="center" wrapText="1"/>
    </xf>
    <xf numFmtId="0" fontId="0" fillId="12" borderId="14" xfId="0" applyFill="1" applyBorder="1" applyAlignment="1">
      <alignment horizontal="center" vertical="center" wrapText="1"/>
    </xf>
    <xf numFmtId="4" fontId="0" fillId="12" borderId="14" xfId="0" applyNumberFormat="1" applyFill="1" applyBorder="1" applyAlignment="1">
      <alignment vertical="center"/>
    </xf>
    <xf numFmtId="4" fontId="0" fillId="12" borderId="14" xfId="0" applyNumberFormat="1" applyFill="1" applyBorder="1" applyAlignment="1" applyProtection="1">
      <alignment vertical="center"/>
      <protection locked="0"/>
    </xf>
    <xf numFmtId="4" fontId="47" fillId="2" borderId="14" xfId="0" applyNumberFormat="1" applyFont="1" applyFill="1" applyBorder="1" applyAlignment="1" applyProtection="1">
      <alignment vertical="center"/>
      <protection locked="0"/>
    </xf>
    <xf numFmtId="0" fontId="47" fillId="11" borderId="14" xfId="0" applyFont="1" applyFill="1" applyBorder="1" applyAlignment="1">
      <alignment horizontal="center" vertical="center"/>
    </xf>
    <xf numFmtId="49" fontId="47" fillId="11" borderId="14" xfId="0" applyNumberFormat="1" applyFont="1" applyFill="1" applyBorder="1" applyAlignment="1">
      <alignment horizontal="left" vertical="center" wrapText="1"/>
    </xf>
    <xf numFmtId="0" fontId="47" fillId="11" borderId="14" xfId="0" applyFont="1" applyFill="1" applyBorder="1" applyAlignment="1">
      <alignment horizontal="left" vertical="center" wrapText="1"/>
    </xf>
    <xf numFmtId="0" fontId="47" fillId="11" borderId="14" xfId="0" applyFont="1" applyFill="1" applyBorder="1" applyAlignment="1">
      <alignment horizontal="center" vertical="center" wrapText="1"/>
    </xf>
    <xf numFmtId="4" fontId="47" fillId="11" borderId="14" xfId="0" applyNumberFormat="1" applyFont="1" applyFill="1" applyBorder="1" applyAlignment="1">
      <alignment vertical="center"/>
    </xf>
    <xf numFmtId="4" fontId="47" fillId="11" borderId="14" xfId="0" applyNumberFormat="1" applyFont="1" applyFill="1" applyBorder="1" applyAlignment="1" applyProtection="1">
      <alignment vertical="center"/>
      <protection locked="0"/>
    </xf>
    <xf numFmtId="4" fontId="39" fillId="11" borderId="1" xfId="6" applyNumberFormat="1" applyFont="1" applyFill="1" applyBorder="1" applyAlignment="1">
      <alignment horizontal="center" vertical="center"/>
    </xf>
    <xf numFmtId="4" fontId="0" fillId="11" borderId="23" xfId="0" applyNumberFormat="1" applyFill="1" applyBorder="1" applyAlignment="1">
      <alignment vertical="center"/>
    </xf>
    <xf numFmtId="4" fontId="43" fillId="11" borderId="22" xfId="0" applyNumberFormat="1" applyFont="1" applyFill="1" applyBorder="1" applyAlignment="1">
      <alignment vertical="center"/>
    </xf>
    <xf numFmtId="4" fontId="39" fillId="11" borderId="24" xfId="6" applyNumberFormat="1" applyFont="1" applyFill="1" applyBorder="1" applyAlignment="1">
      <alignment horizontal="center" vertical="center"/>
    </xf>
    <xf numFmtId="4" fontId="39" fillId="11" borderId="25" xfId="6" applyNumberFormat="1" applyFont="1" applyFill="1" applyBorder="1" applyAlignment="1">
      <alignment horizontal="center" vertical="center"/>
    </xf>
    <xf numFmtId="4" fontId="0" fillId="11" borderId="24" xfId="0" applyNumberFormat="1" applyFill="1" applyBorder="1" applyAlignment="1">
      <alignment vertical="center"/>
    </xf>
    <xf numFmtId="4" fontId="0" fillId="11" borderId="25" xfId="0" applyNumberFormat="1" applyFill="1" applyBorder="1" applyAlignment="1">
      <alignment vertical="center"/>
    </xf>
    <xf numFmtId="4" fontId="50" fillId="11" borderId="24" xfId="0" applyNumberFormat="1" applyFont="1" applyFill="1" applyBorder="1" applyAlignment="1">
      <alignment vertical="center"/>
    </xf>
    <xf numFmtId="4" fontId="50" fillId="11" borderId="25" xfId="0" applyNumberFormat="1" applyFont="1" applyFill="1" applyBorder="1" applyAlignment="1">
      <alignment vertical="center"/>
    </xf>
    <xf numFmtId="4" fontId="40" fillId="11" borderId="24" xfId="0" applyNumberFormat="1" applyFont="1" applyFill="1" applyBorder="1" applyAlignment="1">
      <alignment vertical="center"/>
    </xf>
    <xf numFmtId="4" fontId="35" fillId="11" borderId="24" xfId="0" applyNumberFormat="1" applyFont="1" applyFill="1" applyBorder="1"/>
    <xf numFmtId="4" fontId="35" fillId="11" borderId="25" xfId="0" applyNumberFormat="1" applyFont="1" applyFill="1" applyBorder="1"/>
    <xf numFmtId="4" fontId="40" fillId="11" borderId="25" xfId="0" applyNumberFormat="1" applyFont="1" applyFill="1" applyBorder="1" applyAlignment="1">
      <alignment vertical="center"/>
    </xf>
    <xf numFmtId="4" fontId="42" fillId="11" borderId="24" xfId="0" applyNumberFormat="1" applyFont="1" applyFill="1" applyBorder="1" applyAlignment="1">
      <alignment vertical="center"/>
    </xf>
    <xf numFmtId="4" fontId="42" fillId="11" borderId="25" xfId="0" applyNumberFormat="1" applyFont="1" applyFill="1" applyBorder="1" applyAlignment="1">
      <alignment vertical="center"/>
    </xf>
    <xf numFmtId="4" fontId="51" fillId="11" borderId="24" xfId="0" applyNumberFormat="1" applyFont="1" applyFill="1" applyBorder="1" applyAlignment="1">
      <alignment vertical="center"/>
    </xf>
    <xf numFmtId="0" fontId="40" fillId="11" borderId="24" xfId="0" applyFont="1" applyFill="1" applyBorder="1" applyAlignment="1">
      <alignment vertical="center"/>
    </xf>
    <xf numFmtId="0" fontId="40" fillId="11" borderId="25" xfId="0" applyFont="1" applyFill="1" applyBorder="1" applyAlignment="1">
      <alignment vertical="center"/>
    </xf>
    <xf numFmtId="4" fontId="38" fillId="11" borderId="24" xfId="6" applyNumberFormat="1" applyFont="1" applyFill="1" applyBorder="1" applyAlignment="1">
      <alignment horizontal="center" vertical="center"/>
    </xf>
    <xf numFmtId="4" fontId="38" fillId="11" borderId="25" xfId="6" applyNumberFormat="1" applyFont="1" applyFill="1" applyBorder="1" applyAlignment="1">
      <alignment horizontal="center" vertical="center"/>
    </xf>
    <xf numFmtId="4" fontId="39" fillId="0" borderId="0" xfId="0" applyNumberFormat="1" applyFont="1" applyAlignment="1">
      <alignment vertical="center"/>
    </xf>
    <xf numFmtId="4" fontId="52" fillId="0" borderId="0" xfId="0" applyNumberFormat="1" applyFont="1" applyAlignment="1">
      <alignment horizontal="left" vertical="center"/>
    </xf>
    <xf numFmtId="49" fontId="53" fillId="0" borderId="1" xfId="9" applyNumberFormat="1" applyFont="1" applyBorder="1" applyAlignment="1">
      <alignment horizontal="center" vertical="center"/>
    </xf>
    <xf numFmtId="4" fontId="54" fillId="0" borderId="1" xfId="0" applyNumberFormat="1" applyFont="1" applyBorder="1" applyAlignment="1">
      <alignment vertical="center"/>
    </xf>
    <xf numFmtId="168" fontId="53" fillId="0" borderId="1" xfId="9" applyNumberFormat="1" applyFont="1" applyBorder="1" applyAlignment="1">
      <alignment horizontal="center" vertical="center"/>
    </xf>
    <xf numFmtId="9" fontId="53" fillId="0" borderId="1" xfId="9" applyNumberFormat="1" applyFont="1" applyBorder="1" applyAlignment="1">
      <alignment horizontal="center" vertical="center"/>
    </xf>
    <xf numFmtId="44" fontId="55" fillId="0" borderId="1" xfId="9" applyNumberFormat="1" applyFont="1" applyBorder="1" applyAlignment="1">
      <alignment horizontal="center" vertical="center"/>
    </xf>
    <xf numFmtId="4" fontId="56" fillId="0" borderId="1" xfId="0" applyNumberFormat="1" applyFont="1" applyBorder="1" applyAlignment="1">
      <alignment vertical="center"/>
    </xf>
    <xf numFmtId="4" fontId="56" fillId="0" borderId="1" xfId="0" applyNumberFormat="1" applyFont="1" applyBorder="1" applyAlignment="1">
      <alignment horizontal="left" vertical="center"/>
    </xf>
    <xf numFmtId="4" fontId="56" fillId="0" borderId="1" xfId="0" applyNumberFormat="1" applyFont="1" applyBorder="1" applyAlignment="1" applyProtection="1">
      <alignment vertical="center"/>
      <protection locked="0"/>
    </xf>
    <xf numFmtId="4" fontId="57" fillId="0" borderId="1" xfId="0" applyNumberFormat="1" applyFont="1" applyBorder="1" applyAlignment="1">
      <alignment vertical="center"/>
    </xf>
    <xf numFmtId="4" fontId="58" fillId="0" borderId="1" xfId="0" applyNumberFormat="1" applyFont="1" applyBorder="1" applyAlignment="1">
      <alignment horizontal="center" vertical="center"/>
    </xf>
    <xf numFmtId="4" fontId="58" fillId="0" borderId="1" xfId="0" applyNumberFormat="1" applyFont="1" applyBorder="1" applyAlignment="1">
      <alignment horizontal="left" vertical="center" wrapText="1"/>
    </xf>
    <xf numFmtId="4" fontId="58" fillId="0" borderId="1" xfId="0" applyNumberFormat="1" applyFont="1" applyBorder="1" applyAlignment="1">
      <alignment horizontal="center" vertical="center" wrapText="1"/>
    </xf>
    <xf numFmtId="4" fontId="58" fillId="0" borderId="1" xfId="0" applyNumberFormat="1" applyFont="1" applyBorder="1" applyAlignment="1">
      <alignment vertical="center"/>
    </xf>
    <xf numFmtId="4" fontId="58" fillId="2" borderId="1" xfId="0" applyNumberFormat="1" applyFont="1" applyFill="1" applyBorder="1" applyAlignment="1" applyProtection="1">
      <alignment vertical="center"/>
      <protection locked="0"/>
    </xf>
    <xf numFmtId="4" fontId="58" fillId="0" borderId="1" xfId="0" applyNumberFormat="1" applyFont="1" applyBorder="1" applyAlignment="1" applyProtection="1">
      <alignment vertical="center"/>
      <protection locked="0"/>
    </xf>
    <xf numFmtId="4" fontId="59" fillId="0" borderId="1" xfId="0" applyNumberFormat="1" applyFont="1" applyBorder="1" applyAlignment="1">
      <alignment horizontal="center" vertical="center"/>
    </xf>
    <xf numFmtId="4" fontId="59" fillId="0" borderId="1" xfId="0" applyNumberFormat="1" applyFont="1" applyBorder="1" applyAlignment="1">
      <alignment horizontal="left" vertical="center" wrapText="1"/>
    </xf>
    <xf numFmtId="4" fontId="59" fillId="0" borderId="1" xfId="0" applyNumberFormat="1" applyFont="1" applyBorder="1" applyAlignment="1">
      <alignment horizontal="center" vertical="center" wrapText="1"/>
    </xf>
    <xf numFmtId="4" fontId="59" fillId="0" borderId="1" xfId="0" applyNumberFormat="1" applyFont="1" applyBorder="1" applyAlignment="1" applyProtection="1">
      <alignment vertical="center"/>
      <protection locked="0"/>
    </xf>
    <xf numFmtId="3" fontId="58" fillId="0" borderId="1" xfId="0" applyNumberFormat="1" applyFont="1" applyBorder="1" applyAlignment="1">
      <alignment horizontal="center" vertical="center"/>
    </xf>
    <xf numFmtId="4" fontId="58" fillId="0" borderId="1" xfId="0" applyNumberFormat="1" applyFont="1" applyBorder="1" applyAlignment="1">
      <alignment horizontal="left" vertical="center"/>
    </xf>
    <xf numFmtId="3" fontId="58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168" fontId="58" fillId="0" borderId="1" xfId="0" applyNumberFormat="1" applyFont="1" applyBorder="1" applyAlignment="1">
      <alignment vertical="center"/>
    </xf>
    <xf numFmtId="4" fontId="58" fillId="5" borderId="1" xfId="0" applyNumberFormat="1" applyFont="1" applyFill="1" applyBorder="1" applyAlignment="1">
      <alignment vertical="center"/>
    </xf>
    <xf numFmtId="0" fontId="35" fillId="0" borderId="1" xfId="0" applyFont="1" applyBorder="1" applyAlignment="1">
      <alignment horizontal="center"/>
    </xf>
    <xf numFmtId="4" fontId="0" fillId="0" borderId="1" xfId="0" applyNumberFormat="1" applyBorder="1" applyAlignment="1">
      <alignment vertical="center"/>
    </xf>
    <xf numFmtId="0" fontId="3" fillId="0" borderId="0" xfId="0" applyFont="1"/>
    <xf numFmtId="0" fontId="21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49" fontId="62" fillId="0" borderId="0" xfId="3" applyNumberFormat="1" applyFont="1" applyAlignment="1">
      <alignment horizontal="left"/>
    </xf>
    <xf numFmtId="4" fontId="9" fillId="0" borderId="0" xfId="3" applyNumberFormat="1" applyFont="1"/>
    <xf numFmtId="4" fontId="11" fillId="0" borderId="0" xfId="2" applyNumberFormat="1" applyFont="1"/>
    <xf numFmtId="0" fontId="28" fillId="0" borderId="0" xfId="2" applyFont="1"/>
    <xf numFmtId="44" fontId="28" fillId="0" borderId="0" xfId="2" applyNumberFormat="1" applyFont="1"/>
    <xf numFmtId="44" fontId="29" fillId="0" borderId="0" xfId="2" applyNumberFormat="1" applyFont="1"/>
    <xf numFmtId="0" fontId="30" fillId="0" borderId="0" xfId="2" applyFont="1"/>
    <xf numFmtId="167" fontId="30" fillId="0" borderId="0" xfId="2" applyNumberFormat="1" applyFont="1"/>
    <xf numFmtId="0" fontId="31" fillId="0" borderId="0" xfId="2" applyFont="1"/>
    <xf numFmtId="169" fontId="6" fillId="0" borderId="0" xfId="3" applyNumberFormat="1" applyAlignment="1">
      <alignment horizontal="left" indent="1"/>
    </xf>
    <xf numFmtId="0" fontId="23" fillId="0" borderId="0" xfId="2" applyFont="1"/>
    <xf numFmtId="164" fontId="23" fillId="0" borderId="0" xfId="1" applyNumberFormat="1" applyFont="1" applyAlignment="1">
      <alignment horizontal="right"/>
    </xf>
    <xf numFmtId="4" fontId="23" fillId="0" borderId="0" xfId="3" applyNumberFormat="1" applyFont="1" applyAlignment="1">
      <alignment horizontal="left"/>
    </xf>
    <xf numFmtId="4" fontId="23" fillId="0" borderId="0" xfId="2" applyNumberFormat="1" applyFont="1" applyAlignment="1">
      <alignment horizontal="right"/>
    </xf>
    <xf numFmtId="168" fontId="23" fillId="0" borderId="0" xfId="2" applyNumberFormat="1" applyFont="1" applyAlignment="1">
      <alignment horizontal="right"/>
    </xf>
    <xf numFmtId="0" fontId="63" fillId="0" borderId="0" xfId="2" applyFont="1"/>
    <xf numFmtId="0" fontId="64" fillId="0" borderId="0" xfId="2" applyFont="1"/>
    <xf numFmtId="0" fontId="64" fillId="0" borderId="0" xfId="2" applyFont="1" applyAlignment="1">
      <alignment horizontal="center"/>
    </xf>
    <xf numFmtId="0" fontId="65" fillId="0" borderId="0" xfId="3" applyFont="1"/>
    <xf numFmtId="0" fontId="66" fillId="0" borderId="0" xfId="3" applyFont="1"/>
    <xf numFmtId="0" fontId="67" fillId="0" borderId="0" xfId="3" applyFont="1"/>
    <xf numFmtId="168" fontId="23" fillId="0" borderId="0" xfId="3" applyNumberFormat="1" applyFont="1" applyAlignment="1">
      <alignment horizontal="right"/>
    </xf>
    <xf numFmtId="4" fontId="23" fillId="0" borderId="0" xfId="3" applyNumberFormat="1" applyFont="1" applyAlignment="1">
      <alignment horizontal="right"/>
    </xf>
    <xf numFmtId="14" fontId="63" fillId="0" borderId="0" xfId="3" applyNumberFormat="1" applyFont="1" applyAlignment="1">
      <alignment horizontal="center"/>
    </xf>
    <xf numFmtId="0" fontId="63" fillId="0" borderId="0" xfId="3" applyFont="1"/>
    <xf numFmtId="0" fontId="64" fillId="0" borderId="0" xfId="3" applyFont="1"/>
    <xf numFmtId="0" fontId="64" fillId="0" borderId="0" xfId="3" applyFont="1" applyAlignment="1">
      <alignment horizontal="center"/>
    </xf>
    <xf numFmtId="0" fontId="23" fillId="0" borderId="0" xfId="3" applyFont="1" applyAlignment="1">
      <alignment vertical="center"/>
    </xf>
    <xf numFmtId="4" fontId="23" fillId="0" borderId="0" xfId="3" applyNumberFormat="1" applyFont="1" applyAlignment="1">
      <alignment horizontal="right" vertical="center"/>
    </xf>
    <xf numFmtId="0" fontId="63" fillId="0" borderId="0" xfId="3" applyFont="1" applyAlignment="1">
      <alignment vertical="center"/>
    </xf>
    <xf numFmtId="0" fontId="64" fillId="0" borderId="0" xfId="3" applyFont="1" applyAlignment="1">
      <alignment vertical="center"/>
    </xf>
    <xf numFmtId="0" fontId="64" fillId="0" borderId="0" xfId="3" applyFont="1" applyAlignment="1">
      <alignment horizontal="center" vertical="center"/>
    </xf>
    <xf numFmtId="49" fontId="63" fillId="0" borderId="0" xfId="9" applyNumberFormat="1" applyFont="1" applyAlignment="1">
      <alignment horizontal="center" vertical="center" wrapText="1"/>
    </xf>
    <xf numFmtId="49" fontId="63" fillId="0" borderId="0" xfId="9" applyNumberFormat="1" applyFont="1" applyAlignment="1">
      <alignment horizontal="center" vertical="center"/>
    </xf>
    <xf numFmtId="4" fontId="63" fillId="0" borderId="0" xfId="9" applyNumberFormat="1" applyFont="1" applyAlignment="1">
      <alignment horizontal="center" vertical="center"/>
    </xf>
    <xf numFmtId="9" fontId="63" fillId="0" borderId="0" xfId="9" applyNumberFormat="1" applyFont="1" applyAlignment="1">
      <alignment horizontal="center" vertical="center"/>
    </xf>
    <xf numFmtId="49" fontId="63" fillId="0" borderId="0" xfId="3" applyNumberFormat="1" applyFont="1" applyAlignment="1">
      <alignment horizontal="center" vertical="center" wrapText="1"/>
    </xf>
    <xf numFmtId="168" fontId="68" fillId="0" borderId="0" xfId="3" applyNumberFormat="1" applyFont="1" applyAlignment="1">
      <alignment horizontal="center" vertical="center" wrapText="1"/>
    </xf>
    <xf numFmtId="170" fontId="68" fillId="0" borderId="0" xfId="3" applyNumberFormat="1" applyFont="1" applyAlignment="1">
      <alignment horizontal="center" vertical="center" wrapText="1"/>
    </xf>
    <xf numFmtId="49" fontId="68" fillId="0" borderId="0" xfId="3" applyNumberFormat="1" applyFont="1" applyAlignment="1">
      <alignment horizontal="center" vertical="center" wrapText="1"/>
    </xf>
    <xf numFmtId="168" fontId="67" fillId="0" borderId="0" xfId="3" applyNumberFormat="1" applyFont="1" applyAlignment="1">
      <alignment horizontal="center" vertical="center" wrapText="1"/>
    </xf>
    <xf numFmtId="170" fontId="67" fillId="0" borderId="0" xfId="3" applyNumberFormat="1" applyFont="1" applyAlignment="1">
      <alignment horizontal="center" vertical="center" wrapText="1"/>
    </xf>
    <xf numFmtId="49" fontId="67" fillId="0" borderId="0" xfId="3" applyNumberFormat="1" applyFont="1" applyAlignment="1">
      <alignment horizontal="center" vertical="center" wrapText="1"/>
    </xf>
    <xf numFmtId="0" fontId="63" fillId="0" borderId="0" xfId="9" applyFont="1"/>
    <xf numFmtId="49" fontId="63" fillId="10" borderId="0" xfId="9" applyNumberFormat="1" applyFont="1" applyFill="1" applyAlignment="1">
      <alignment horizontal="center" vertical="center"/>
    </xf>
    <xf numFmtId="49" fontId="63" fillId="10" borderId="0" xfId="9" applyNumberFormat="1" applyFont="1" applyFill="1" applyAlignment="1">
      <alignment horizontal="left" vertical="center"/>
    </xf>
    <xf numFmtId="0" fontId="69" fillId="10" borderId="0" xfId="3" applyFont="1" applyFill="1" applyAlignment="1">
      <alignment vertical="center" wrapText="1"/>
    </xf>
    <xf numFmtId="4" fontId="69" fillId="10" borderId="0" xfId="3" applyNumberFormat="1" applyFont="1" applyFill="1" applyAlignment="1">
      <alignment vertical="center" wrapText="1"/>
    </xf>
    <xf numFmtId="9" fontId="63" fillId="10" borderId="0" xfId="9" applyNumberFormat="1" applyFont="1" applyFill="1" applyAlignment="1">
      <alignment horizontal="center" vertical="center"/>
    </xf>
    <xf numFmtId="44" fontId="63" fillId="10" borderId="0" xfId="9" applyNumberFormat="1" applyFont="1" applyFill="1" applyAlignment="1">
      <alignment horizontal="center" vertical="center"/>
    </xf>
    <xf numFmtId="44" fontId="68" fillId="10" borderId="0" xfId="9" applyNumberFormat="1" applyFont="1" applyFill="1" applyAlignment="1">
      <alignment horizontal="center" vertical="center"/>
    </xf>
    <xf numFmtId="49" fontId="23" fillId="0" borderId="0" xfId="9" applyNumberFormat="1" applyFont="1" applyAlignment="1">
      <alignment horizontal="center" vertical="center" wrapText="1"/>
    </xf>
    <xf numFmtId="49" fontId="23" fillId="0" borderId="0" xfId="3" applyNumberFormat="1" applyFont="1" applyAlignment="1">
      <alignment vertical="center"/>
    </xf>
    <xf numFmtId="0" fontId="23" fillId="0" borderId="0" xfId="3" applyFont="1" applyAlignment="1">
      <alignment vertical="center" wrapText="1"/>
    </xf>
    <xf numFmtId="4" fontId="23" fillId="0" borderId="0" xfId="3" applyNumberFormat="1" applyFont="1" applyAlignment="1">
      <alignment vertical="center"/>
    </xf>
    <xf numFmtId="166" fontId="23" fillId="0" borderId="0" xfId="3" applyNumberFormat="1" applyFont="1" applyAlignment="1">
      <alignment vertical="center"/>
    </xf>
    <xf numFmtId="44" fontId="23" fillId="0" borderId="0" xfId="3" applyNumberFormat="1" applyFont="1" applyAlignment="1">
      <alignment vertical="center"/>
    </xf>
    <xf numFmtId="4" fontId="70" fillId="0" borderId="0" xfId="3" applyNumberFormat="1" applyFont="1" applyAlignment="1">
      <alignment horizontal="right" vertical="center" wrapText="1"/>
    </xf>
    <xf numFmtId="170" fontId="70" fillId="0" borderId="0" xfId="3" applyNumberFormat="1" applyFont="1" applyAlignment="1">
      <alignment vertical="center"/>
    </xf>
    <xf numFmtId="171" fontId="70" fillId="0" borderId="0" xfId="3" applyNumberFormat="1" applyFont="1" applyAlignment="1">
      <alignment vertical="center"/>
    </xf>
    <xf numFmtId="4" fontId="66" fillId="0" borderId="0" xfId="3" applyNumberFormat="1" applyFont="1" applyAlignment="1">
      <alignment vertical="center"/>
    </xf>
    <xf numFmtId="170" fontId="66" fillId="0" borderId="0" xfId="3" applyNumberFormat="1" applyFont="1" applyAlignment="1">
      <alignment vertical="center"/>
    </xf>
    <xf numFmtId="171" fontId="66" fillId="0" borderId="0" xfId="3" applyNumberFormat="1" applyFont="1" applyAlignment="1">
      <alignment vertical="center"/>
    </xf>
    <xf numFmtId="0" fontId="23" fillId="0" borderId="0" xfId="9" applyFont="1"/>
    <xf numFmtId="0" fontId="71" fillId="0" borderId="0" xfId="3" applyFont="1" applyAlignment="1">
      <alignment vertical="center" wrapText="1"/>
    </xf>
    <xf numFmtId="0" fontId="72" fillId="0" borderId="0" xfId="0" applyFont="1" applyAlignment="1">
      <alignment horizontal="left" vertical="center" wrapText="1"/>
    </xf>
    <xf numFmtId="171" fontId="23" fillId="0" borderId="0" xfId="9" applyNumberFormat="1" applyFont="1"/>
    <xf numFmtId="0" fontId="50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0" fontId="50" fillId="0" borderId="0" xfId="0" applyFont="1" applyAlignment="1">
      <alignment vertical="center"/>
    </xf>
    <xf numFmtId="0" fontId="50" fillId="0" borderId="0" xfId="0" applyFont="1" applyAlignment="1" applyProtection="1">
      <alignment vertical="center"/>
      <protection locked="0"/>
    </xf>
    <xf numFmtId="0" fontId="73" fillId="0" borderId="0" xfId="0" applyFont="1" applyAlignment="1">
      <alignment vertical="center" wrapText="1"/>
    </xf>
    <xf numFmtId="49" fontId="23" fillId="0" borderId="0" xfId="9" applyNumberFormat="1" applyFont="1" applyAlignment="1">
      <alignment horizontal="center" vertical="center"/>
    </xf>
    <xf numFmtId="10" fontId="23" fillId="0" borderId="0" xfId="8" applyNumberFormat="1" applyFont="1" applyAlignment="1">
      <alignment horizontal="center"/>
    </xf>
    <xf numFmtId="4" fontId="74" fillId="0" borderId="0" xfId="3" applyNumberFormat="1" applyFont="1" applyAlignment="1">
      <alignment horizontal="right" vertical="center" wrapText="1"/>
    </xf>
    <xf numFmtId="168" fontId="33" fillId="0" borderId="0" xfId="3" applyNumberFormat="1" applyFont="1" applyAlignment="1">
      <alignment horizontal="right"/>
    </xf>
    <xf numFmtId="0" fontId="9" fillId="0" borderId="32" xfId="3" applyFont="1" applyBorder="1" applyAlignment="1">
      <alignment vertical="center"/>
    </xf>
    <xf numFmtId="0" fontId="9" fillId="0" borderId="38" xfId="3" applyFont="1" applyBorder="1" applyAlignment="1">
      <alignment horizontal="left" vertical="center"/>
    </xf>
    <xf numFmtId="0" fontId="18" fillId="0" borderId="38" xfId="3" applyFont="1" applyBorder="1" applyAlignment="1">
      <alignment vertical="center"/>
    </xf>
    <xf numFmtId="0" fontId="9" fillId="0" borderId="38" xfId="3" applyFont="1" applyBorder="1" applyAlignment="1">
      <alignment vertical="center"/>
    </xf>
    <xf numFmtId="168" fontId="9" fillId="0" borderId="38" xfId="3" applyNumberFormat="1" applyFont="1" applyBorder="1" applyAlignment="1">
      <alignment horizontal="right" vertical="center"/>
    </xf>
    <xf numFmtId="167" fontId="18" fillId="0" borderId="38" xfId="3" applyNumberFormat="1" applyFont="1" applyBorder="1" applyAlignment="1">
      <alignment vertical="center"/>
    </xf>
    <xf numFmtId="171" fontId="18" fillId="0" borderId="38" xfId="3" applyNumberFormat="1" applyFont="1" applyBorder="1" applyAlignment="1" applyProtection="1">
      <alignment horizontal="right" vertical="center"/>
      <protection hidden="1"/>
    </xf>
    <xf numFmtId="171" fontId="75" fillId="0" borderId="38" xfId="3" applyNumberFormat="1" applyFont="1" applyBorder="1" applyAlignment="1">
      <alignment horizontal="right" vertical="center"/>
    </xf>
    <xf numFmtId="171" fontId="75" fillId="0" borderId="38" xfId="3" applyNumberFormat="1" applyFont="1" applyBorder="1" applyAlignment="1" applyProtection="1">
      <alignment horizontal="right" vertical="center"/>
      <protection hidden="1"/>
    </xf>
    <xf numFmtId="171" fontId="76" fillId="0" borderId="33" xfId="3" applyNumberFormat="1" applyFont="1" applyBorder="1" applyAlignment="1" applyProtection="1">
      <alignment horizontal="right" vertical="center"/>
      <protection hidden="1"/>
    </xf>
    <xf numFmtId="10" fontId="23" fillId="0" borderId="0" xfId="8" applyNumberFormat="1" applyFont="1"/>
    <xf numFmtId="0" fontId="9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0" fontId="21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168" fontId="11" fillId="0" borderId="0" xfId="3" applyNumberFormat="1" applyFont="1" applyAlignment="1">
      <alignment horizontal="right" vertical="center"/>
    </xf>
    <xf numFmtId="167" fontId="18" fillId="0" borderId="0" xfId="3" applyNumberFormat="1" applyFont="1" applyAlignment="1">
      <alignment vertical="center"/>
    </xf>
    <xf numFmtId="0" fontId="77" fillId="0" borderId="0" xfId="3" applyFont="1" applyAlignment="1">
      <alignment vertical="center"/>
    </xf>
    <xf numFmtId="167" fontId="75" fillId="0" borderId="0" xfId="3" applyNumberFormat="1" applyFont="1" applyAlignment="1">
      <alignment vertical="center"/>
    </xf>
    <xf numFmtId="0" fontId="30" fillId="0" borderId="0" xfId="3" applyFont="1" applyAlignment="1">
      <alignment horizontal="center" vertical="center"/>
    </xf>
    <xf numFmtId="0" fontId="75" fillId="0" borderId="0" xfId="3" applyFont="1" applyAlignment="1">
      <alignment vertical="center"/>
    </xf>
    <xf numFmtId="0" fontId="27" fillId="0" borderId="0" xfId="3" applyFont="1" applyAlignment="1">
      <alignment vertical="center"/>
    </xf>
    <xf numFmtId="0" fontId="76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168" fontId="21" fillId="0" borderId="0" xfId="3" applyNumberFormat="1" applyFont="1" applyAlignment="1">
      <alignment horizontal="right" vertical="center"/>
    </xf>
    <xf numFmtId="0" fontId="77" fillId="0" borderId="0" xfId="3" applyFont="1" applyAlignment="1">
      <alignment horizontal="center" vertical="center"/>
    </xf>
    <xf numFmtId="44" fontId="21" fillId="0" borderId="0" xfId="3" applyNumberFormat="1" applyFont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0" fillId="2" borderId="1" xfId="0" applyNumberFormat="1" applyFill="1" applyBorder="1" applyAlignment="1" applyProtection="1">
      <alignment vertical="center"/>
      <protection locked="0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4" fontId="47" fillId="0" borderId="1" xfId="0" applyNumberFormat="1" applyFont="1" applyBorder="1" applyAlignment="1">
      <alignment vertical="center"/>
    </xf>
    <xf numFmtId="4" fontId="47" fillId="2" borderId="1" xfId="0" applyNumberFormat="1" applyFont="1" applyFill="1" applyBorder="1" applyAlignment="1" applyProtection="1">
      <alignment vertical="center"/>
      <protection locked="0"/>
    </xf>
    <xf numFmtId="0" fontId="35" fillId="0" borderId="1" xfId="0" applyFont="1" applyBorder="1"/>
    <xf numFmtId="0" fontId="35" fillId="0" borderId="1" xfId="0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0" fontId="35" fillId="0" borderId="1" xfId="0" applyFont="1" applyBorder="1" applyProtection="1">
      <protection locked="0"/>
    </xf>
    <xf numFmtId="4" fontId="37" fillId="0" borderId="1" xfId="0" applyNumberFormat="1" applyFont="1" applyBorder="1"/>
    <xf numFmtId="0" fontId="0" fillId="13" borderId="0" xfId="0" applyFill="1"/>
    <xf numFmtId="49" fontId="78" fillId="13" borderId="0" xfId="0" applyNumberFormat="1" applyFont="1" applyFill="1" applyAlignment="1">
      <alignment horizontal="left" vertical="center"/>
    </xf>
    <xf numFmtId="0" fontId="44" fillId="13" borderId="0" xfId="0" applyFont="1" applyFill="1"/>
    <xf numFmtId="2" fontId="44" fillId="13" borderId="0" xfId="0" applyNumberFormat="1" applyFont="1" applyFill="1"/>
    <xf numFmtId="44" fontId="79" fillId="13" borderId="0" xfId="0" applyNumberFormat="1" applyFont="1" applyFill="1"/>
    <xf numFmtId="172" fontId="80" fillId="0" borderId="1" xfId="2" applyNumberFormat="1" applyFont="1" applyBorder="1" applyAlignment="1">
      <alignment horizontal="right" vertical="center" wrapText="1"/>
    </xf>
    <xf numFmtId="171" fontId="80" fillId="0" borderId="1" xfId="2" applyNumberFormat="1" applyFont="1" applyBorder="1" applyAlignment="1">
      <alignment vertical="center" wrapText="1"/>
    </xf>
    <xf numFmtId="0" fontId="22" fillId="13" borderId="0" xfId="0" applyFont="1" applyFill="1"/>
    <xf numFmtId="0" fontId="1" fillId="0" borderId="0" xfId="5"/>
    <xf numFmtId="0" fontId="82" fillId="0" borderId="0" xfId="5" applyFont="1"/>
    <xf numFmtId="0" fontId="33" fillId="4" borderId="2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horizontal="center" vertical="center" wrapText="1"/>
    </xf>
    <xf numFmtId="0" fontId="3" fillId="0" borderId="0" xfId="5" applyFont="1"/>
    <xf numFmtId="49" fontId="1" fillId="0" borderId="0" xfId="5" applyNumberFormat="1"/>
    <xf numFmtId="2" fontId="1" fillId="0" borderId="0" xfId="5" applyNumberFormat="1"/>
    <xf numFmtId="43" fontId="0" fillId="0" borderId="0" xfId="11" applyFont="1"/>
    <xf numFmtId="43" fontId="3" fillId="0" borderId="0" xfId="5" applyNumberFormat="1" applyFont="1"/>
    <xf numFmtId="4" fontId="3" fillId="0" borderId="0" xfId="0" applyNumberFormat="1" applyFont="1"/>
    <xf numFmtId="4" fontId="83" fillId="0" borderId="0" xfId="0" applyNumberFormat="1" applyFont="1" applyFill="1" applyBorder="1" applyAlignment="1">
      <alignment horizontal="left" vertical="center" wrapText="1"/>
    </xf>
    <xf numFmtId="44" fontId="3" fillId="0" borderId="0" xfId="7" applyFont="1"/>
    <xf numFmtId="0" fontId="3" fillId="0" borderId="0" xfId="0" applyFont="1" applyFill="1" applyBorder="1" applyAlignment="1">
      <alignment horizontal="left" vertical="center" wrapText="1"/>
    </xf>
    <xf numFmtId="171" fontId="75" fillId="0" borderId="33" xfId="3" applyNumberFormat="1" applyFont="1" applyBorder="1" applyAlignment="1">
      <alignment horizontal="right" vertical="center"/>
    </xf>
    <xf numFmtId="0" fontId="21" fillId="0" borderId="0" xfId="3" applyFont="1" applyAlignment="1">
      <alignment horizontal="left" vertical="center"/>
    </xf>
    <xf numFmtId="44" fontId="21" fillId="0" borderId="0" xfId="3" applyNumberFormat="1" applyFont="1" applyAlignment="1">
      <alignment horizontal="left" vertical="center"/>
    </xf>
    <xf numFmtId="0" fontId="0" fillId="0" borderId="38" xfId="0" applyBorder="1"/>
    <xf numFmtId="0" fontId="0" fillId="0" borderId="33" xfId="0" applyBorder="1"/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8" fillId="0" borderId="1" xfId="5" applyNumberFormat="1" applyFont="1" applyBorder="1" applyAlignment="1">
      <alignment horizontal="center" vertical="center" wrapText="1"/>
    </xf>
    <xf numFmtId="4" fontId="38" fillId="0" borderId="24" xfId="5" applyNumberFormat="1" applyFont="1" applyBorder="1" applyAlignment="1">
      <alignment horizontal="center" vertical="center"/>
    </xf>
    <xf numFmtId="4" fontId="38" fillId="0" borderId="25" xfId="5" applyNumberFormat="1" applyFont="1" applyBorder="1" applyAlignment="1">
      <alignment horizontal="center" vertical="center"/>
    </xf>
    <xf numFmtId="4" fontId="38" fillId="0" borderId="1" xfId="6" applyNumberFormat="1" applyFont="1" applyBorder="1" applyAlignment="1">
      <alignment horizontal="center" vertical="center" wrapText="1"/>
    </xf>
    <xf numFmtId="4" fontId="38" fillId="0" borderId="24" xfId="6" applyNumberFormat="1" applyFont="1" applyBorder="1" applyAlignment="1">
      <alignment horizontal="center" vertical="center"/>
    </xf>
    <xf numFmtId="4" fontId="38" fillId="0" borderId="25" xfId="6" applyNumberFormat="1" applyFont="1" applyBorder="1" applyAlignment="1">
      <alignment horizontal="center" vertical="center"/>
    </xf>
    <xf numFmtId="4" fontId="38" fillId="0" borderId="8" xfId="5" applyNumberFormat="1" applyFont="1" applyBorder="1" applyAlignment="1">
      <alignment horizontal="center" vertical="center" wrapText="1"/>
    </xf>
    <xf numFmtId="4" fontId="38" fillId="0" borderId="9" xfId="5" applyNumberFormat="1" applyFont="1" applyBorder="1" applyAlignment="1">
      <alignment horizontal="center" vertical="center" wrapText="1"/>
    </xf>
    <xf numFmtId="4" fontId="38" fillId="0" borderId="12" xfId="5" applyNumberFormat="1" applyFont="1" applyBorder="1" applyAlignment="1">
      <alignment horizontal="center" vertical="center"/>
    </xf>
    <xf numFmtId="4" fontId="38" fillId="0" borderId="13" xfId="5" applyNumberFormat="1" applyFont="1" applyBorder="1" applyAlignment="1">
      <alignment horizontal="center" vertical="center"/>
    </xf>
    <xf numFmtId="4" fontId="38" fillId="0" borderId="6" xfId="5" applyNumberFormat="1" applyFont="1" applyBorder="1" applyAlignment="1">
      <alignment horizontal="center" vertical="center"/>
    </xf>
    <xf numFmtId="4" fontId="38" fillId="0" borderId="7" xfId="5" applyNumberFormat="1" applyFont="1" applyBorder="1" applyAlignment="1">
      <alignment horizontal="center" vertical="center"/>
    </xf>
    <xf numFmtId="4" fontId="38" fillId="10" borderId="27" xfId="5" applyNumberFormat="1" applyFont="1" applyFill="1" applyBorder="1" applyAlignment="1">
      <alignment horizontal="center" vertical="center"/>
    </xf>
    <xf numFmtId="4" fontId="38" fillId="10" borderId="28" xfId="5" applyNumberFormat="1" applyFont="1" applyFill="1" applyBorder="1" applyAlignment="1">
      <alignment horizontal="center" vertical="center"/>
    </xf>
    <xf numFmtId="0" fontId="44" fillId="11" borderId="34" xfId="0" applyFont="1" applyFill="1" applyBorder="1" applyAlignment="1">
      <alignment horizontal="center"/>
    </xf>
    <xf numFmtId="4" fontId="38" fillId="11" borderId="35" xfId="6" applyNumberFormat="1" applyFont="1" applyFill="1" applyBorder="1" applyAlignment="1">
      <alignment horizontal="center" vertical="center" wrapText="1"/>
    </xf>
    <xf numFmtId="4" fontId="38" fillId="11" borderId="36" xfId="6" applyNumberFormat="1" applyFont="1" applyFill="1" applyBorder="1" applyAlignment="1">
      <alignment horizontal="center" vertical="center" wrapText="1"/>
    </xf>
    <xf numFmtId="4" fontId="38" fillId="0" borderId="6" xfId="5" applyNumberFormat="1" applyFont="1" applyBorder="1" applyAlignment="1">
      <alignment horizontal="center" vertical="center" wrapText="1"/>
    </xf>
    <xf numFmtId="4" fontId="38" fillId="0" borderId="7" xfId="5" applyNumberFormat="1" applyFont="1" applyBorder="1" applyAlignment="1">
      <alignment horizontal="center" vertical="center" wrapText="1"/>
    </xf>
    <xf numFmtId="4" fontId="38" fillId="0" borderId="32" xfId="5" applyNumberFormat="1" applyFont="1" applyBorder="1" applyAlignment="1">
      <alignment horizontal="center" vertical="center"/>
    </xf>
    <xf numFmtId="4" fontId="38" fillId="0" borderId="33" xfId="5" applyNumberFormat="1" applyFont="1" applyBorder="1" applyAlignment="1">
      <alignment horizontal="center" vertical="center"/>
    </xf>
    <xf numFmtId="4" fontId="38" fillId="10" borderId="6" xfId="5" applyNumberFormat="1" applyFont="1" applyFill="1" applyBorder="1" applyAlignment="1">
      <alignment horizontal="center" vertical="center"/>
    </xf>
    <xf numFmtId="4" fontId="38" fillId="10" borderId="7" xfId="5" applyNumberFormat="1" applyFont="1" applyFill="1" applyBorder="1" applyAlignment="1">
      <alignment horizontal="center" vertical="center"/>
    </xf>
    <xf numFmtId="0" fontId="43" fillId="0" borderId="35" xfId="0" applyFont="1" applyBorder="1" applyAlignment="1">
      <alignment horizontal="center" vertical="center" wrapText="1"/>
    </xf>
    <xf numFmtId="0" fontId="43" fillId="0" borderId="36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0" fillId="0" borderId="0" xfId="10" applyFont="1" applyAlignment="1">
      <alignment horizontal="left" vertical="center" wrapText="1"/>
    </xf>
    <xf numFmtId="0" fontId="14" fillId="0" borderId="0" xfId="10" applyFont="1" applyAlignment="1">
      <alignment vertical="center"/>
    </xf>
    <xf numFmtId="49" fontId="18" fillId="0" borderId="0" xfId="3" applyNumberFormat="1" applyFont="1" applyAlignment="1">
      <alignment horizontal="left" vertical="center"/>
    </xf>
    <xf numFmtId="168" fontId="63" fillId="0" borderId="0" xfId="3" applyNumberFormat="1" applyFont="1" applyAlignment="1">
      <alignment horizontal="center" vertical="center"/>
    </xf>
    <xf numFmtId="172" fontId="80" fillId="0" borderId="0" xfId="2" applyNumberFormat="1" applyFont="1" applyAlignment="1">
      <alignment horizontal="center" vertical="center" wrapText="1"/>
    </xf>
    <xf numFmtId="172" fontId="80" fillId="0" borderId="34" xfId="2" applyNumberFormat="1" applyFont="1" applyBorder="1" applyAlignment="1">
      <alignment horizontal="center" vertical="center" wrapText="1"/>
    </xf>
    <xf numFmtId="0" fontId="81" fillId="0" borderId="0" xfId="5" applyFont="1" applyAlignment="1">
      <alignment horizontal="center"/>
    </xf>
  </cellXfs>
  <cellStyles count="12">
    <cellStyle name="Čárka 2" xfId="11" xr:uid="{902D6B81-9238-4553-BA54-93A9E9606DE6}"/>
    <cellStyle name="Měna" xfId="7" builtinId="4"/>
    <cellStyle name="Normální" xfId="0" builtinId="0"/>
    <cellStyle name="Normální 10" xfId="10" xr:uid="{C8ABB9BC-260B-4782-B400-69FF8A5BE664}"/>
    <cellStyle name="normální 2" xfId="3" xr:uid="{65081B03-6B44-4C71-BBDB-2FC6D263FFA4}"/>
    <cellStyle name="Normální 4 2 2" xfId="5" xr:uid="{B00F241D-0CF3-4B7E-8905-9D3BE6015753}"/>
    <cellStyle name="Normální 4 3 2" xfId="6" xr:uid="{E1BA4E57-4268-48C1-9DC6-FF509F3FA037}"/>
    <cellStyle name="normální_4948_Odbytovy_rozpocet-Rusek" xfId="9" xr:uid="{E9CA96CC-9CC2-4D29-8E33-F0BBBD1F45B2}"/>
    <cellStyle name="normální_Agregované položky akce389" xfId="1" xr:uid="{A4CB2FB3-6749-47A5-9FD4-440C6DCB1182}"/>
    <cellStyle name="normální_Pekapitulace výkazu výměr" xfId="2" xr:uid="{8AF557BA-8F07-495D-9581-6919696A4213}"/>
    <cellStyle name="normální_Pekapitulace výkazu výměr 2" xfId="4" xr:uid="{8F44B038-C1AC-4C0F-9998-6B8F8863C4D5}"/>
    <cellStyle name="Procenta" xfId="8" builtinId="5"/>
  </cellStyles>
  <dxfs count="27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7E4DE366-1964-477B-808B-817B5A200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CC4F4BA9-32B8-473A-AB85-7A68767ED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E94DEC69-73FD-4AEB-BE3D-1D66850A7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51A0EA23-8D5D-47DB-ADD5-2B261CD09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81225115-C9CE-4255-A0A4-642E3665A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C99E2258-6891-4ED4-91F0-16671DD57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57150</xdr:rowOff>
    </xdr:from>
    <xdr:to>
      <xdr:col>2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74B0D509-6B0A-4669-B5C2-5EB6CDABD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0</xdr:row>
      <xdr:rowOff>57150</xdr:rowOff>
    </xdr:from>
    <xdr:to>
      <xdr:col>2</xdr:col>
      <xdr:colOff>466725</xdr:colOff>
      <xdr:row>2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55783790-C902-43A7-A7C3-EE9529A78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1C69C629-AA6B-4094-8535-9EDB72AD4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25C18674-1B75-4EC3-9470-ADB242939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030D2-F1A3-4BF9-9B3E-9C2E6800423F}">
  <dimension ref="A2:J39"/>
  <sheetViews>
    <sheetView view="pageBreakPreview" zoomScale="60" zoomScaleNormal="100" workbookViewId="0">
      <selection activeCell="E19" sqref="E19"/>
    </sheetView>
  </sheetViews>
  <sheetFormatPr defaultRowHeight="15" x14ac:dyDescent="0.25"/>
  <cols>
    <col min="1" max="1" width="11.85546875" customWidth="1"/>
    <col min="2" max="2" width="36.140625" customWidth="1"/>
    <col min="3" max="5" width="23.5703125" customWidth="1"/>
    <col min="8" max="8" width="10.28515625" bestFit="1" customWidth="1"/>
    <col min="9" max="9" width="8.42578125" bestFit="1" customWidth="1"/>
    <col min="10" max="11" width="18.28515625" customWidth="1"/>
  </cols>
  <sheetData>
    <row r="2" spans="1:10" ht="18" x14ac:dyDescent="0.25">
      <c r="A2" s="426" t="s">
        <v>23</v>
      </c>
      <c r="B2" s="426"/>
      <c r="C2" s="426"/>
      <c r="D2" s="426"/>
      <c r="E2" s="426"/>
    </row>
    <row r="3" spans="1:10" ht="18" x14ac:dyDescent="0.25">
      <c r="A3" s="1"/>
      <c r="B3" s="1"/>
      <c r="C3" s="1"/>
      <c r="D3" s="1"/>
      <c r="E3" s="1"/>
    </row>
    <row r="4" spans="1:10" ht="18" x14ac:dyDescent="0.25">
      <c r="A4" s="1"/>
      <c r="B4" s="2" t="s">
        <v>0</v>
      </c>
      <c r="C4" s="3" t="s">
        <v>1</v>
      </c>
      <c r="D4" s="4"/>
      <c r="E4" s="5"/>
      <c r="F4" s="6"/>
    </row>
    <row r="5" spans="1:10" ht="18" x14ac:dyDescent="0.25">
      <c r="A5" s="1"/>
      <c r="B5" s="2" t="s">
        <v>2</v>
      </c>
      <c r="C5" s="3" t="s">
        <v>547</v>
      </c>
      <c r="D5" s="4"/>
      <c r="E5" s="5"/>
      <c r="F5" s="6"/>
    </row>
    <row r="6" spans="1:10" ht="18" x14ac:dyDescent="0.25">
      <c r="A6" s="1"/>
      <c r="B6" s="7" t="s">
        <v>3</v>
      </c>
      <c r="C6" s="8" t="s">
        <v>4</v>
      </c>
      <c r="D6" s="4"/>
      <c r="E6" s="5"/>
      <c r="F6" s="6"/>
    </row>
    <row r="7" spans="1:10" ht="18" x14ac:dyDescent="0.25">
      <c r="A7" s="1"/>
      <c r="B7" s="7" t="s">
        <v>5</v>
      </c>
      <c r="C7" s="9" t="s">
        <v>6</v>
      </c>
      <c r="D7" s="10"/>
      <c r="E7" s="11"/>
      <c r="F7" s="6"/>
    </row>
    <row r="8" spans="1:10" ht="18" x14ac:dyDescent="0.25">
      <c r="A8" s="1"/>
      <c r="B8" s="2" t="s">
        <v>7</v>
      </c>
      <c r="C8" s="12" t="s">
        <v>8</v>
      </c>
      <c r="D8" s="10"/>
      <c r="E8" s="11"/>
      <c r="F8" s="6"/>
    </row>
    <row r="9" spans="1:10" ht="18" x14ac:dyDescent="0.25">
      <c r="A9" s="1"/>
      <c r="B9" s="2" t="s">
        <v>9</v>
      </c>
      <c r="C9" s="12" t="s">
        <v>10</v>
      </c>
      <c r="D9" s="10"/>
      <c r="E9" s="11"/>
      <c r="F9" s="6"/>
    </row>
    <row r="10" spans="1:10" ht="18" x14ac:dyDescent="0.25">
      <c r="A10" s="1"/>
      <c r="B10" s="1"/>
      <c r="C10" s="1"/>
      <c r="D10" s="1"/>
      <c r="E10" s="1"/>
    </row>
    <row r="12" spans="1:10" x14ac:dyDescent="0.25">
      <c r="A12" s="427" t="s">
        <v>11</v>
      </c>
      <c r="B12" s="427" t="s">
        <v>12</v>
      </c>
      <c r="C12" s="427" t="s">
        <v>13</v>
      </c>
      <c r="D12" s="428"/>
      <c r="E12" s="428"/>
    </row>
    <row r="13" spans="1:10" x14ac:dyDescent="0.25">
      <c r="A13" s="428"/>
      <c r="B13" s="428"/>
      <c r="C13" s="13" t="s">
        <v>14</v>
      </c>
      <c r="D13" s="14" t="s">
        <v>15</v>
      </c>
      <c r="E13" s="13" t="s">
        <v>16</v>
      </c>
    </row>
    <row r="14" spans="1:10" s="19" customFormat="1" ht="45" customHeight="1" x14ac:dyDescent="0.25">
      <c r="A14" s="37" t="s">
        <v>24</v>
      </c>
      <c r="B14" s="15" t="s">
        <v>25</v>
      </c>
      <c r="C14" s="16"/>
      <c r="D14" s="17">
        <v>962846.79</v>
      </c>
      <c r="E14" s="18">
        <f>D14</f>
        <v>962846.79</v>
      </c>
      <c r="H14" s="20"/>
      <c r="I14" s="20"/>
      <c r="J14" s="21"/>
    </row>
    <row r="15" spans="1:10" s="19" customFormat="1" ht="35.25" customHeight="1" x14ac:dyDescent="0.25">
      <c r="A15" s="37" t="s">
        <v>26</v>
      </c>
      <c r="B15" s="15" t="s">
        <v>27</v>
      </c>
      <c r="C15" s="16"/>
      <c r="D15" s="17">
        <v>1820453.5209099995</v>
      </c>
      <c r="E15" s="18">
        <f t="shared" ref="E15:E20" si="0">D15</f>
        <v>1820453.5209099995</v>
      </c>
      <c r="H15" s="20"/>
      <c r="I15" s="20"/>
      <c r="J15" s="21"/>
    </row>
    <row r="16" spans="1:10" s="19" customFormat="1" ht="35.25" customHeight="1" x14ac:dyDescent="0.25">
      <c r="A16" s="37" t="s">
        <v>28</v>
      </c>
      <c r="B16" s="15" t="s">
        <v>29</v>
      </c>
      <c r="C16" s="16"/>
      <c r="D16" s="17">
        <v>5558427.6267600004</v>
      </c>
      <c r="E16" s="18">
        <f t="shared" si="0"/>
        <v>5558427.6267600004</v>
      </c>
      <c r="H16" s="20"/>
      <c r="I16" s="20"/>
      <c r="J16" s="21"/>
    </row>
    <row r="17" spans="1:10" s="19" customFormat="1" ht="35.25" customHeight="1" x14ac:dyDescent="0.25">
      <c r="A17" s="37" t="s">
        <v>30</v>
      </c>
      <c r="B17" s="15" t="s">
        <v>31</v>
      </c>
      <c r="C17" s="16"/>
      <c r="D17" s="17">
        <f>'007-04'!K80</f>
        <v>-1048101.5499888001</v>
      </c>
      <c r="E17" s="18">
        <f t="shared" si="0"/>
        <v>-1048101.5499888001</v>
      </c>
      <c r="H17" s="20"/>
      <c r="I17" s="20"/>
      <c r="J17" s="21"/>
    </row>
    <row r="18" spans="1:10" s="19" customFormat="1" ht="35.25" customHeight="1" x14ac:dyDescent="0.25">
      <c r="A18" s="37" t="s">
        <v>32</v>
      </c>
      <c r="B18" s="15" t="s">
        <v>33</v>
      </c>
      <c r="C18" s="16"/>
      <c r="D18" s="17">
        <f>'007-05'!J262</f>
        <v>-392800.06734691374</v>
      </c>
      <c r="E18" s="18">
        <f t="shared" si="0"/>
        <v>-392800.06734691374</v>
      </c>
      <c r="H18" s="20"/>
      <c r="I18" s="20"/>
      <c r="J18" s="21"/>
    </row>
    <row r="19" spans="1:10" s="19" customFormat="1" ht="35.25" customHeight="1" x14ac:dyDescent="0.25">
      <c r="A19" s="37" t="s">
        <v>34</v>
      </c>
      <c r="B19" s="15" t="s">
        <v>35</v>
      </c>
      <c r="C19" s="16"/>
      <c r="D19" s="17">
        <v>1108624.6000000001</v>
      </c>
      <c r="E19" s="18">
        <f t="shared" si="0"/>
        <v>1108624.6000000001</v>
      </c>
      <c r="H19" s="20"/>
      <c r="I19" s="20"/>
      <c r="J19" s="21"/>
    </row>
    <row r="20" spans="1:10" s="19" customFormat="1" ht="35.25" customHeight="1" x14ac:dyDescent="0.25">
      <c r="A20" s="37" t="s">
        <v>36</v>
      </c>
      <c r="B20" s="15" t="s">
        <v>37</v>
      </c>
      <c r="C20" s="16"/>
      <c r="D20" s="17">
        <v>147079.00019999998</v>
      </c>
      <c r="E20" s="18">
        <f t="shared" si="0"/>
        <v>147079.00019999998</v>
      </c>
      <c r="H20" s="20"/>
      <c r="I20" s="20"/>
      <c r="J20" s="21"/>
    </row>
    <row r="21" spans="1:10" s="19" customFormat="1" x14ac:dyDescent="0.25">
      <c r="A21" s="22"/>
      <c r="B21" s="23"/>
      <c r="C21" s="24"/>
      <c r="D21" s="25"/>
      <c r="E21" s="26"/>
      <c r="H21" s="20"/>
      <c r="I21" s="20"/>
      <c r="J21" s="21"/>
    </row>
    <row r="22" spans="1:10" s="19" customFormat="1" x14ac:dyDescent="0.25">
      <c r="A22" s="22"/>
      <c r="B22" s="23"/>
      <c r="C22" s="24"/>
      <c r="D22" s="25"/>
      <c r="E22" s="26"/>
      <c r="H22" s="20"/>
      <c r="I22" s="20"/>
      <c r="J22" s="21"/>
    </row>
    <row r="23" spans="1:10" s="19" customFormat="1" x14ac:dyDescent="0.25">
      <c r="A23" s="22"/>
      <c r="B23" s="23"/>
      <c r="C23" s="24"/>
      <c r="D23" s="25"/>
      <c r="E23" s="26"/>
      <c r="H23" s="20"/>
      <c r="I23" s="20"/>
      <c r="J23" s="21"/>
    </row>
    <row r="25" spans="1:10" ht="15.75" x14ac:dyDescent="0.25">
      <c r="B25" s="27" t="s">
        <v>17</v>
      </c>
      <c r="C25" s="28">
        <f>SUM(C14:C14)</f>
        <v>0</v>
      </c>
      <c r="D25" s="29">
        <f>SUM(D14:D20)</f>
        <v>8156529.9205342866</v>
      </c>
      <c r="E25" s="30">
        <f>SUM(E14:E14)</f>
        <v>962846.79</v>
      </c>
    </row>
    <row r="27" spans="1:10" ht="15.75" x14ac:dyDescent="0.25">
      <c r="B27" s="31" t="s">
        <v>18</v>
      </c>
      <c r="E27" s="32" t="s">
        <v>19</v>
      </c>
    </row>
    <row r="28" spans="1:10" x14ac:dyDescent="0.25">
      <c r="E28" s="33"/>
    </row>
    <row r="29" spans="1:10" x14ac:dyDescent="0.25">
      <c r="E29" s="34"/>
    </row>
    <row r="30" spans="1:10" x14ac:dyDescent="0.25">
      <c r="E30" s="33"/>
    </row>
    <row r="31" spans="1:10" ht="15.75" x14ac:dyDescent="0.25">
      <c r="B31" s="35" t="s">
        <v>20</v>
      </c>
      <c r="E31" s="32" t="s">
        <v>19</v>
      </c>
    </row>
    <row r="32" spans="1:10" x14ac:dyDescent="0.25">
      <c r="E32" s="33"/>
    </row>
    <row r="33" spans="2:5" x14ac:dyDescent="0.25">
      <c r="E33" s="33"/>
    </row>
    <row r="34" spans="2:5" x14ac:dyDescent="0.25">
      <c r="E34" s="33"/>
    </row>
    <row r="35" spans="2:5" ht="15.75" x14ac:dyDescent="0.25">
      <c r="B35" s="35" t="s">
        <v>21</v>
      </c>
      <c r="E35" s="32" t="s">
        <v>19</v>
      </c>
    </row>
    <row r="36" spans="2:5" x14ac:dyDescent="0.25">
      <c r="E36" s="33"/>
    </row>
    <row r="37" spans="2:5" x14ac:dyDescent="0.25">
      <c r="E37" s="33"/>
    </row>
    <row r="38" spans="2:5" x14ac:dyDescent="0.25">
      <c r="E38" s="33"/>
    </row>
    <row r="39" spans="2:5" ht="15.75" x14ac:dyDescent="0.25">
      <c r="B39" s="36" t="s">
        <v>22</v>
      </c>
      <c r="E39" s="32" t="s">
        <v>19</v>
      </c>
    </row>
  </sheetData>
  <mergeCells count="4">
    <mergeCell ref="A2:E2"/>
    <mergeCell ref="A12:A13"/>
    <mergeCell ref="B12:B13"/>
    <mergeCell ref="C12:E12"/>
  </mergeCells>
  <conditionalFormatting sqref="C5">
    <cfRule type="cellIs" dxfId="26" priority="1" stopIfTrue="1" operator="lessThan">
      <formula>0</formula>
    </cfRule>
  </conditionalFormatting>
  <pageMargins left="0.7" right="0.7" top="0.78740157499999996" bottom="0.78740157499999996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AB114-F95A-44DD-9928-006E4CFFDF8E}">
  <sheetPr>
    <pageSetUpPr fitToPage="1"/>
  </sheetPr>
  <dimension ref="A1:AH127"/>
  <sheetViews>
    <sheetView view="pageBreakPreview" topLeftCell="A58" zoomScale="60" zoomScaleNormal="100" workbookViewId="0">
      <selection activeCell="F118" sqref="F118"/>
    </sheetView>
  </sheetViews>
  <sheetFormatPr defaultRowHeight="15" x14ac:dyDescent="0.25"/>
  <cols>
    <col min="2" max="2" width="8.85546875" style="130"/>
    <col min="3" max="3" width="12.42578125" customWidth="1"/>
    <col min="4" max="4" width="51.5703125" customWidth="1"/>
    <col min="6" max="6" width="9.7109375" bestFit="1" customWidth="1"/>
    <col min="8" max="8" width="20.140625" bestFit="1" customWidth="1"/>
    <col min="9" max="9" width="4.140625" customWidth="1"/>
    <col min="10" max="10" width="9.140625" hidden="1" customWidth="1"/>
    <col min="11" max="11" width="18.42578125" bestFit="1" customWidth="1"/>
    <col min="12" max="12" width="15.140625" bestFit="1" customWidth="1"/>
    <col min="13" max="13" width="2.42578125" customWidth="1"/>
    <col min="15" max="15" width="12" bestFit="1" customWidth="1"/>
    <col min="16" max="16" width="3.140625" customWidth="1"/>
    <col min="18" max="18" width="12" bestFit="1" customWidth="1"/>
    <col min="19" max="19" width="2.7109375" customWidth="1"/>
    <col min="21" max="21" width="12" bestFit="1" customWidth="1"/>
    <col min="22" max="22" width="1.7109375" customWidth="1"/>
    <col min="24" max="24" width="10.85546875" bestFit="1" customWidth="1"/>
    <col min="25" max="25" width="2" customWidth="1"/>
    <col min="27" max="27" width="12" bestFit="1" customWidth="1"/>
    <col min="28" max="28" width="2.28515625" customWidth="1"/>
    <col min="30" max="30" width="10.85546875" bestFit="1" customWidth="1"/>
  </cols>
  <sheetData>
    <row r="1" spans="1:34" s="42" customFormat="1" ht="12.75" x14ac:dyDescent="0.2">
      <c r="A1" s="38"/>
      <c r="B1" s="128"/>
      <c r="C1" s="38"/>
      <c r="D1" s="38"/>
      <c r="E1" s="39"/>
      <c r="F1" s="38"/>
      <c r="G1" s="40"/>
      <c r="H1" s="38"/>
      <c r="I1" s="38"/>
      <c r="J1" s="38"/>
      <c r="K1" s="38"/>
      <c r="L1" s="38"/>
      <c r="M1" s="38"/>
      <c r="N1" s="38"/>
      <c r="O1" s="41"/>
      <c r="P1" s="41"/>
      <c r="Q1" s="41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1:34" s="42" customFormat="1" ht="15.75" x14ac:dyDescent="0.25">
      <c r="A2" s="4"/>
      <c r="B2" s="129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2" customFormat="1" ht="15.75" x14ac:dyDescent="0.25">
      <c r="A3" s="4"/>
      <c r="B3" s="129"/>
      <c r="D3" s="2" t="s">
        <v>2</v>
      </c>
      <c r="E3" s="3" t="s">
        <v>547</v>
      </c>
      <c r="F3" s="5"/>
      <c r="G3" s="44"/>
      <c r="H3" s="45"/>
      <c r="I3" s="45"/>
      <c r="J3" s="4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2" customFormat="1" ht="15.75" x14ac:dyDescent="0.25">
      <c r="A4" s="4"/>
      <c r="B4" s="129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2" customFormat="1" ht="15.75" x14ac:dyDescent="0.25">
      <c r="A5" s="43"/>
      <c r="B5" s="129"/>
      <c r="D5" s="7" t="s">
        <v>5</v>
      </c>
      <c r="E5" s="9" t="s">
        <v>6</v>
      </c>
      <c r="F5" s="53"/>
      <c r="G5" s="44"/>
      <c r="H5" s="54"/>
      <c r="I5" s="54"/>
      <c r="J5" s="54"/>
      <c r="K5" s="55"/>
      <c r="L5" s="55"/>
      <c r="M5" s="55"/>
      <c r="N5" s="54"/>
      <c r="O5" s="56"/>
      <c r="P5" s="57"/>
      <c r="Q5" s="56"/>
      <c r="R5" s="54"/>
      <c r="S5" s="55"/>
      <c r="T5" s="54"/>
      <c r="U5" s="55"/>
      <c r="V5" s="54"/>
      <c r="W5" s="55"/>
      <c r="X5" s="54"/>
      <c r="Y5" s="55"/>
      <c r="Z5" s="54"/>
      <c r="AA5" s="55"/>
      <c r="AB5" s="54"/>
      <c r="AC5" s="55"/>
      <c r="AD5" s="54"/>
      <c r="AE5" s="58"/>
      <c r="AF5" s="59"/>
      <c r="AG5" s="60"/>
      <c r="AH5" s="61"/>
    </row>
    <row r="6" spans="1:34" s="42" customFormat="1" ht="15.75" x14ac:dyDescent="0.25">
      <c r="A6" s="43"/>
      <c r="B6" s="129"/>
      <c r="D6" s="2" t="s">
        <v>7</v>
      </c>
      <c r="E6" s="12" t="s">
        <v>8</v>
      </c>
      <c r="F6" s="53"/>
      <c r="G6" s="44"/>
      <c r="H6" s="54"/>
      <c r="I6" s="54"/>
      <c r="J6" s="54"/>
      <c r="K6" s="55"/>
      <c r="L6" s="55"/>
      <c r="M6" s="55"/>
      <c r="N6" s="54"/>
      <c r="O6" s="56"/>
      <c r="P6" s="57"/>
      <c r="Q6" s="56"/>
      <c r="R6" s="54"/>
      <c r="S6" s="55"/>
      <c r="T6" s="54"/>
      <c r="U6" s="55"/>
      <c r="V6" s="54"/>
      <c r="W6" s="55"/>
      <c r="X6" s="54"/>
      <c r="Y6" s="55"/>
      <c r="Z6" s="54"/>
      <c r="AA6" s="55"/>
      <c r="AB6" s="54"/>
      <c r="AC6" s="55"/>
      <c r="AD6" s="54"/>
      <c r="AE6" s="58"/>
      <c r="AF6" s="59"/>
      <c r="AG6" s="60"/>
      <c r="AH6" s="61"/>
    </row>
    <row r="7" spans="1:34" s="42" customFormat="1" ht="15.75" x14ac:dyDescent="0.25">
      <c r="A7" s="43"/>
      <c r="B7" s="129"/>
      <c r="D7" s="2" t="s">
        <v>9</v>
      </c>
      <c r="E7" s="12" t="s">
        <v>10</v>
      </c>
      <c r="F7" s="53"/>
      <c r="G7" s="44"/>
      <c r="H7" s="54"/>
      <c r="I7" s="54"/>
      <c r="J7" s="54"/>
      <c r="K7" s="55"/>
      <c r="L7" s="55"/>
      <c r="M7" s="55"/>
      <c r="N7" s="54"/>
      <c r="O7" s="56"/>
      <c r="P7" s="57"/>
      <c r="Q7" s="56"/>
      <c r="R7" s="54"/>
      <c r="S7" s="55"/>
      <c r="T7" s="54"/>
      <c r="U7" s="55"/>
      <c r="V7" s="54"/>
      <c r="W7" s="55"/>
      <c r="X7" s="54"/>
      <c r="Y7" s="55"/>
      <c r="Z7" s="54"/>
      <c r="AA7" s="55"/>
      <c r="AB7" s="54"/>
      <c r="AC7" s="55"/>
      <c r="AD7" s="54"/>
      <c r="AE7" s="58"/>
      <c r="AF7" s="59"/>
      <c r="AG7" s="60"/>
      <c r="AH7" s="61"/>
    </row>
    <row r="8" spans="1:34" s="42" customFormat="1" ht="15.75" x14ac:dyDescent="0.25">
      <c r="A8" s="43"/>
      <c r="B8" s="129"/>
      <c r="D8" s="2"/>
      <c r="E8" s="62"/>
      <c r="F8" s="53"/>
      <c r="G8" s="44"/>
      <c r="H8" s="54"/>
      <c r="I8" s="54"/>
      <c r="J8" s="54"/>
      <c r="K8" s="55"/>
      <c r="L8" s="55"/>
      <c r="M8" s="55"/>
      <c r="N8" s="54"/>
      <c r="O8" s="56"/>
      <c r="P8" s="57"/>
      <c r="Q8" s="56"/>
      <c r="R8" s="54"/>
      <c r="S8" s="55"/>
      <c r="T8" s="54"/>
      <c r="U8" s="55"/>
      <c r="V8" s="54"/>
      <c r="W8" s="55"/>
      <c r="X8" s="54"/>
      <c r="Y8" s="55"/>
      <c r="Z8" s="54"/>
      <c r="AA8" s="55"/>
      <c r="AB8" s="54"/>
      <c r="AC8" s="55"/>
      <c r="AD8" s="54"/>
      <c r="AE8" s="58"/>
      <c r="AF8" s="59"/>
      <c r="AG8" s="60"/>
      <c r="AH8" s="61"/>
    </row>
    <row r="9" spans="1:34" ht="18" x14ac:dyDescent="0.25">
      <c r="B9" s="282" t="s">
        <v>352</v>
      </c>
    </row>
    <row r="10" spans="1:34" ht="18.75" thickBot="1" x14ac:dyDescent="0.3">
      <c r="B10" s="282"/>
    </row>
    <row r="11" spans="1:34" ht="20.25" x14ac:dyDescent="0.25">
      <c r="A11" s="19"/>
      <c r="B11" s="131"/>
      <c r="C11" s="63" t="s">
        <v>38</v>
      </c>
      <c r="D11" s="19"/>
      <c r="E11" s="19"/>
      <c r="F11" s="19"/>
      <c r="G11" s="64"/>
      <c r="H11" s="19"/>
      <c r="I11" s="79"/>
      <c r="J11" s="19"/>
      <c r="K11" s="439" t="s">
        <v>53</v>
      </c>
      <c r="L11" s="440"/>
      <c r="M11" s="19"/>
      <c r="N11" s="439" t="s">
        <v>54</v>
      </c>
      <c r="O11" s="440"/>
      <c r="P11" s="19"/>
      <c r="Q11" s="439" t="s">
        <v>55</v>
      </c>
      <c r="R11" s="440"/>
      <c r="S11" s="19"/>
      <c r="T11" s="439" t="s">
        <v>56</v>
      </c>
      <c r="U11" s="440"/>
      <c r="V11" s="19"/>
      <c r="W11" s="439" t="s">
        <v>57</v>
      </c>
      <c r="X11" s="440"/>
      <c r="Y11" s="19"/>
      <c r="Z11" s="439" t="s">
        <v>58</v>
      </c>
      <c r="AA11" s="440"/>
      <c r="AB11" s="19"/>
      <c r="AC11" s="439" t="s">
        <v>59</v>
      </c>
      <c r="AD11" s="440"/>
    </row>
    <row r="12" spans="1:34" ht="24" x14ac:dyDescent="0.25">
      <c r="A12" s="65" t="s">
        <v>39</v>
      </c>
      <c r="B12" s="132" t="s">
        <v>40</v>
      </c>
      <c r="C12" s="66" t="s">
        <v>41</v>
      </c>
      <c r="D12" s="66" t="s">
        <v>42</v>
      </c>
      <c r="E12" s="66" t="s">
        <v>43</v>
      </c>
      <c r="F12" s="66" t="s">
        <v>44</v>
      </c>
      <c r="G12" s="67" t="s">
        <v>45</v>
      </c>
      <c r="H12" s="68" t="s">
        <v>46</v>
      </c>
      <c r="I12" s="80"/>
      <c r="J12" s="81"/>
      <c r="K12" s="82" t="s">
        <v>60</v>
      </c>
      <c r="L12" s="83" t="s">
        <v>61</v>
      </c>
      <c r="M12" s="81"/>
      <c r="N12" s="82" t="s">
        <v>60</v>
      </c>
      <c r="O12" s="83" t="s">
        <v>61</v>
      </c>
      <c r="P12" s="81"/>
      <c r="Q12" s="82" t="s">
        <v>60</v>
      </c>
      <c r="R12" s="83" t="s">
        <v>61</v>
      </c>
      <c r="S12" s="81"/>
      <c r="T12" s="82" t="s">
        <v>60</v>
      </c>
      <c r="U12" s="83" t="s">
        <v>61</v>
      </c>
      <c r="V12" s="81"/>
      <c r="W12" s="82" t="s">
        <v>60</v>
      </c>
      <c r="X12" s="83" t="s">
        <v>61</v>
      </c>
      <c r="Y12" s="81"/>
      <c r="Z12" s="82" t="s">
        <v>60</v>
      </c>
      <c r="AA12" s="83" t="s">
        <v>61</v>
      </c>
      <c r="AB12" s="81"/>
      <c r="AC12" s="82" t="s">
        <v>60</v>
      </c>
      <c r="AD12" s="83" t="s">
        <v>61</v>
      </c>
    </row>
    <row r="13" spans="1:34" ht="15.75" x14ac:dyDescent="0.25">
      <c r="A13" s="69" t="s">
        <v>47</v>
      </c>
      <c r="B13" s="131"/>
      <c r="C13" s="19"/>
      <c r="D13" s="19"/>
      <c r="E13" s="19"/>
      <c r="F13" s="19"/>
      <c r="G13" s="64"/>
      <c r="H13" s="71"/>
      <c r="I13" s="79"/>
      <c r="J13" s="19"/>
      <c r="K13" s="84"/>
      <c r="L13" s="85">
        <v>214417.50000000003</v>
      </c>
      <c r="M13" s="19"/>
      <c r="N13" s="84"/>
      <c r="O13" s="85">
        <v>249742.2</v>
      </c>
      <c r="P13" s="19"/>
      <c r="Q13" s="84"/>
      <c r="R13" s="85">
        <v>154928.4</v>
      </c>
      <c r="S13" s="19"/>
      <c r="T13" s="84"/>
      <c r="U13" s="85">
        <v>389737.60000000003</v>
      </c>
      <c r="V13" s="19"/>
      <c r="W13" s="84"/>
      <c r="X13" s="85">
        <v>47125.2</v>
      </c>
      <c r="Y13" s="19"/>
      <c r="Z13" s="84"/>
      <c r="AA13" s="85">
        <v>378536.60000000003</v>
      </c>
      <c r="AB13" s="86"/>
      <c r="AC13" s="84"/>
      <c r="AD13" s="85">
        <v>18379.738096800014</v>
      </c>
    </row>
    <row r="14" spans="1:34" ht="15.75" x14ac:dyDescent="0.25">
      <c r="A14" s="72"/>
      <c r="B14" s="133" t="s">
        <v>48</v>
      </c>
      <c r="C14" s="74" t="s">
        <v>49</v>
      </c>
      <c r="D14" s="74" t="s">
        <v>50</v>
      </c>
      <c r="E14" s="72"/>
      <c r="F14" s="72"/>
      <c r="G14" s="75"/>
      <c r="H14" s="76"/>
      <c r="I14" s="87"/>
      <c r="J14" s="72"/>
      <c r="K14" s="437"/>
      <c r="L14" s="438"/>
      <c r="M14" s="72"/>
      <c r="N14" s="437"/>
      <c r="O14" s="438"/>
      <c r="P14" s="72"/>
      <c r="Q14" s="437"/>
      <c r="R14" s="438"/>
      <c r="S14" s="72"/>
      <c r="T14" s="437"/>
      <c r="U14" s="438"/>
      <c r="V14" s="72"/>
      <c r="W14" s="437"/>
      <c r="X14" s="438"/>
      <c r="Y14" s="88"/>
      <c r="Z14" s="437"/>
      <c r="AA14" s="438"/>
      <c r="AB14" s="89"/>
      <c r="AC14" s="437"/>
      <c r="AD14" s="438"/>
    </row>
    <row r="15" spans="1:34" x14ac:dyDescent="0.25">
      <c r="A15" s="72"/>
      <c r="B15" s="133" t="s">
        <v>48</v>
      </c>
      <c r="C15" s="77" t="s">
        <v>51</v>
      </c>
      <c r="D15" s="77" t="s">
        <v>52</v>
      </c>
      <c r="E15" s="72"/>
      <c r="F15" s="72"/>
      <c r="G15" s="75"/>
      <c r="H15" s="78"/>
      <c r="I15" s="87"/>
      <c r="J15" s="72"/>
      <c r="K15" s="90"/>
      <c r="L15" s="91"/>
      <c r="M15" s="72"/>
      <c r="N15" s="90"/>
      <c r="O15" s="91"/>
      <c r="P15" s="72"/>
      <c r="Q15" s="90"/>
      <c r="R15" s="91"/>
      <c r="S15" s="72"/>
      <c r="T15" s="90"/>
      <c r="U15" s="91"/>
      <c r="V15" s="72"/>
      <c r="W15" s="90"/>
      <c r="X15" s="91"/>
      <c r="Y15" s="88"/>
      <c r="Z15" s="90"/>
      <c r="AA15" s="91"/>
      <c r="AB15" s="89"/>
      <c r="AC15" s="90"/>
      <c r="AD15" s="91"/>
    </row>
    <row r="16" spans="1:34" ht="30" x14ac:dyDescent="0.25">
      <c r="A16" s="92" t="s">
        <v>62</v>
      </c>
      <c r="B16" s="134" t="s">
        <v>63</v>
      </c>
      <c r="C16" s="94" t="s">
        <v>64</v>
      </c>
      <c r="D16" s="95" t="s">
        <v>65</v>
      </c>
      <c r="E16" s="96" t="s">
        <v>66</v>
      </c>
      <c r="F16" s="97">
        <v>669.62</v>
      </c>
      <c r="G16" s="98">
        <v>55.24</v>
      </c>
      <c r="H16" s="97">
        <v>36989.800000000003</v>
      </c>
      <c r="I16" s="79"/>
      <c r="J16" s="19"/>
      <c r="K16" s="109">
        <v>310.67999999999984</v>
      </c>
      <c r="L16" s="110">
        <v>17162</v>
      </c>
      <c r="M16" s="19"/>
      <c r="N16" s="109">
        <v>384.14000000000004</v>
      </c>
      <c r="O16" s="110">
        <v>21219.9</v>
      </c>
      <c r="P16" s="19"/>
      <c r="Q16" s="109">
        <v>199.34000000000015</v>
      </c>
      <c r="R16" s="110">
        <v>11011.5</v>
      </c>
      <c r="S16" s="19"/>
      <c r="T16" s="109">
        <v>537.08000000000004</v>
      </c>
      <c r="U16" s="110">
        <v>29668.3</v>
      </c>
      <c r="V16" s="19"/>
      <c r="W16" s="109">
        <v>60.1</v>
      </c>
      <c r="X16" s="110">
        <v>3319.9</v>
      </c>
      <c r="Y16" s="86"/>
      <c r="Z16" s="109">
        <v>541.62999999999988</v>
      </c>
      <c r="AA16" s="110">
        <v>29919.599999999999</v>
      </c>
      <c r="AB16" s="86"/>
      <c r="AC16" s="109">
        <v>16.970000000000027</v>
      </c>
      <c r="AD16" s="110">
        <v>937.42280000000153</v>
      </c>
    </row>
    <row r="17" spans="1:30" x14ac:dyDescent="0.25">
      <c r="A17" s="99"/>
      <c r="B17" s="135" t="s">
        <v>67</v>
      </c>
      <c r="C17" s="100" t="s">
        <v>68</v>
      </c>
      <c r="D17" s="101" t="s">
        <v>69</v>
      </c>
      <c r="E17" s="99"/>
      <c r="F17" s="102">
        <v>669.62</v>
      </c>
      <c r="G17" s="103"/>
      <c r="H17" s="99"/>
      <c r="I17" s="111"/>
      <c r="J17" s="99"/>
      <c r="K17" s="112"/>
      <c r="L17" s="113"/>
      <c r="M17" s="99"/>
      <c r="N17" s="112"/>
      <c r="O17" s="113"/>
      <c r="P17" s="99"/>
      <c r="Q17" s="112"/>
      <c r="R17" s="113"/>
      <c r="S17" s="99"/>
      <c r="T17" s="112"/>
      <c r="U17" s="113"/>
      <c r="V17" s="99"/>
      <c r="W17" s="112"/>
      <c r="X17" s="113"/>
      <c r="Y17" s="99"/>
      <c r="Z17" s="112"/>
      <c r="AA17" s="113"/>
      <c r="AB17" s="100"/>
      <c r="AC17" s="112"/>
      <c r="AD17" s="113"/>
    </row>
    <row r="18" spans="1:30" x14ac:dyDescent="0.25">
      <c r="A18" s="99"/>
      <c r="B18" s="135" t="s">
        <v>67</v>
      </c>
      <c r="C18" s="100" t="s">
        <v>68</v>
      </c>
      <c r="D18" s="101" t="s">
        <v>70</v>
      </c>
      <c r="E18" s="99"/>
      <c r="F18" s="102">
        <v>0</v>
      </c>
      <c r="G18" s="103"/>
      <c r="H18" s="99"/>
      <c r="I18" s="111"/>
      <c r="J18" s="19"/>
      <c r="K18" s="114"/>
      <c r="L18" s="115"/>
      <c r="M18" s="99"/>
      <c r="N18" s="114"/>
      <c r="O18" s="115"/>
      <c r="P18" s="99"/>
      <c r="Q18" s="114"/>
      <c r="R18" s="115"/>
      <c r="S18" s="99"/>
      <c r="T18" s="114"/>
      <c r="U18" s="115"/>
      <c r="V18" s="99"/>
      <c r="W18" s="114"/>
      <c r="X18" s="115"/>
      <c r="Y18" s="99"/>
      <c r="Z18" s="114"/>
      <c r="AA18" s="115"/>
      <c r="AB18" s="100"/>
      <c r="AC18" s="114"/>
      <c r="AD18" s="115"/>
    </row>
    <row r="19" spans="1:30" x14ac:dyDescent="0.25">
      <c r="A19" s="104"/>
      <c r="B19" s="135" t="s">
        <v>67</v>
      </c>
      <c r="C19" s="105" t="s">
        <v>68</v>
      </c>
      <c r="D19" s="106" t="s">
        <v>71</v>
      </c>
      <c r="E19" s="104"/>
      <c r="F19" s="107">
        <v>669.62</v>
      </c>
      <c r="G19" s="108"/>
      <c r="H19" s="104"/>
      <c r="I19" s="116"/>
      <c r="J19" s="99"/>
      <c r="K19" s="112"/>
      <c r="L19" s="113"/>
      <c r="M19" s="104"/>
      <c r="N19" s="112"/>
      <c r="O19" s="113"/>
      <c r="P19" s="104"/>
      <c r="Q19" s="112"/>
      <c r="R19" s="113"/>
      <c r="S19" s="104"/>
      <c r="T19" s="112"/>
      <c r="U19" s="113"/>
      <c r="V19" s="104"/>
      <c r="W19" s="112"/>
      <c r="X19" s="113"/>
      <c r="Y19" s="104"/>
      <c r="Z19" s="112"/>
      <c r="AA19" s="113"/>
      <c r="AB19" s="105"/>
      <c r="AC19" s="112"/>
      <c r="AD19" s="113"/>
    </row>
    <row r="20" spans="1:30" x14ac:dyDescent="0.25">
      <c r="A20" s="72"/>
      <c r="B20" s="133" t="s">
        <v>48</v>
      </c>
      <c r="C20" s="77" t="s">
        <v>72</v>
      </c>
      <c r="D20" s="77" t="s">
        <v>73</v>
      </c>
      <c r="E20" s="72"/>
      <c r="F20" s="72"/>
      <c r="G20" s="75"/>
      <c r="H20" s="78">
        <v>0</v>
      </c>
      <c r="I20" s="87"/>
      <c r="J20" s="99"/>
      <c r="K20" s="112"/>
      <c r="L20" s="113"/>
      <c r="M20" s="72"/>
      <c r="N20" s="112"/>
      <c r="O20" s="113"/>
      <c r="P20" s="72"/>
      <c r="Q20" s="112"/>
      <c r="R20" s="113"/>
      <c r="S20" s="72"/>
      <c r="T20" s="112"/>
      <c r="U20" s="113"/>
      <c r="V20" s="72"/>
      <c r="W20" s="112"/>
      <c r="X20" s="113"/>
      <c r="Y20" s="88"/>
      <c r="Z20" s="112"/>
      <c r="AA20" s="113"/>
      <c r="AB20" s="89"/>
      <c r="AC20" s="112"/>
      <c r="AD20" s="113"/>
    </row>
    <row r="21" spans="1:30" x14ac:dyDescent="0.25">
      <c r="A21" s="92" t="s">
        <v>74</v>
      </c>
      <c r="B21" s="134" t="s">
        <v>63</v>
      </c>
      <c r="C21" s="94" t="s">
        <v>75</v>
      </c>
      <c r="D21" s="95" t="s">
        <v>76</v>
      </c>
      <c r="E21" s="96" t="s">
        <v>66</v>
      </c>
      <c r="F21" s="97">
        <v>669.62</v>
      </c>
      <c r="G21" s="98">
        <v>20.62</v>
      </c>
      <c r="H21" s="97">
        <v>13807.6</v>
      </c>
      <c r="I21" s="79"/>
      <c r="J21" s="99"/>
      <c r="K21" s="109">
        <v>310.67999999999984</v>
      </c>
      <c r="L21" s="110">
        <v>6406.2</v>
      </c>
      <c r="M21" s="19"/>
      <c r="N21" s="109">
        <v>384.14000000000004</v>
      </c>
      <c r="O21" s="110">
        <v>7921</v>
      </c>
      <c r="P21" s="19"/>
      <c r="Q21" s="109">
        <v>199.34000000000015</v>
      </c>
      <c r="R21" s="110">
        <v>4110.3999999999996</v>
      </c>
      <c r="S21" s="19"/>
      <c r="T21" s="109">
        <v>537.08000000000004</v>
      </c>
      <c r="U21" s="110">
        <v>11074.6</v>
      </c>
      <c r="V21" s="19"/>
      <c r="W21" s="109">
        <v>60.1</v>
      </c>
      <c r="X21" s="110">
        <v>1239.3</v>
      </c>
      <c r="Y21" s="86"/>
      <c r="Z21" s="109">
        <v>541.62999999999988</v>
      </c>
      <c r="AA21" s="110">
        <v>11168.4</v>
      </c>
      <c r="AB21" s="86"/>
      <c r="AC21" s="109">
        <v>16.970000000000027</v>
      </c>
      <c r="AD21" s="110">
        <v>349.92140000000057</v>
      </c>
    </row>
    <row r="22" spans="1:30" x14ac:dyDescent="0.25">
      <c r="A22" s="99"/>
      <c r="B22" s="135" t="s">
        <v>67</v>
      </c>
      <c r="C22" s="100" t="s">
        <v>68</v>
      </c>
      <c r="D22" s="101" t="s">
        <v>69</v>
      </c>
      <c r="E22" s="99"/>
      <c r="F22" s="102">
        <v>669.62</v>
      </c>
      <c r="G22" s="103"/>
      <c r="H22" s="99"/>
      <c r="I22" s="111"/>
      <c r="J22" s="72"/>
      <c r="K22" s="117"/>
      <c r="L22" s="118"/>
      <c r="M22" s="99"/>
      <c r="N22" s="117"/>
      <c r="O22" s="118"/>
      <c r="P22" s="99"/>
      <c r="Q22" s="117"/>
      <c r="R22" s="118"/>
      <c r="S22" s="99"/>
      <c r="T22" s="117"/>
      <c r="U22" s="118"/>
      <c r="V22" s="99"/>
      <c r="W22" s="117"/>
      <c r="X22" s="118"/>
      <c r="Y22" s="99"/>
      <c r="Z22" s="117"/>
      <c r="AA22" s="118"/>
      <c r="AB22" s="100"/>
      <c r="AC22" s="117"/>
      <c r="AD22" s="118"/>
    </row>
    <row r="23" spans="1:30" x14ac:dyDescent="0.25">
      <c r="A23" s="99"/>
      <c r="B23" s="135" t="s">
        <v>67</v>
      </c>
      <c r="C23" s="100" t="s">
        <v>68</v>
      </c>
      <c r="D23" s="101" t="s">
        <v>70</v>
      </c>
      <c r="E23" s="99"/>
      <c r="F23" s="102">
        <v>0</v>
      </c>
      <c r="G23" s="103"/>
      <c r="H23" s="99"/>
      <c r="I23" s="111"/>
      <c r="J23" s="19"/>
      <c r="K23" s="114"/>
      <c r="L23" s="115"/>
      <c r="M23" s="99"/>
      <c r="N23" s="114"/>
      <c r="O23" s="115"/>
      <c r="P23" s="99"/>
      <c r="Q23" s="114"/>
      <c r="R23" s="115"/>
      <c r="S23" s="99"/>
      <c r="T23" s="114"/>
      <c r="U23" s="115"/>
      <c r="V23" s="99"/>
      <c r="W23" s="114"/>
      <c r="X23" s="115"/>
      <c r="Y23" s="99"/>
      <c r="Z23" s="114"/>
      <c r="AA23" s="115"/>
      <c r="AB23" s="100"/>
      <c r="AC23" s="114"/>
      <c r="AD23" s="115"/>
    </row>
    <row r="24" spans="1:30" x14ac:dyDescent="0.25">
      <c r="A24" s="104"/>
      <c r="B24" s="135" t="s">
        <v>67</v>
      </c>
      <c r="C24" s="105" t="s">
        <v>68</v>
      </c>
      <c r="D24" s="106" t="s">
        <v>71</v>
      </c>
      <c r="E24" s="104"/>
      <c r="F24" s="107">
        <v>669.62</v>
      </c>
      <c r="G24" s="108"/>
      <c r="H24" s="104"/>
      <c r="I24" s="116"/>
      <c r="J24" s="99"/>
      <c r="K24" s="112"/>
      <c r="L24" s="113"/>
      <c r="M24" s="104"/>
      <c r="N24" s="112"/>
      <c r="O24" s="113"/>
      <c r="P24" s="104"/>
      <c r="Q24" s="112"/>
      <c r="R24" s="113"/>
      <c r="S24" s="104"/>
      <c r="T24" s="112"/>
      <c r="U24" s="113"/>
      <c r="V24" s="104"/>
      <c r="W24" s="112"/>
      <c r="X24" s="113"/>
      <c r="Y24" s="104"/>
      <c r="Z24" s="112"/>
      <c r="AA24" s="113"/>
      <c r="AB24" s="105"/>
      <c r="AC24" s="112"/>
      <c r="AD24" s="113"/>
    </row>
    <row r="25" spans="1:30" ht="30" x14ac:dyDescent="0.25">
      <c r="A25" s="92" t="s">
        <v>77</v>
      </c>
      <c r="B25" s="134" t="s">
        <v>63</v>
      </c>
      <c r="C25" s="94" t="s">
        <v>78</v>
      </c>
      <c r="D25" s="95" t="s">
        <v>79</v>
      </c>
      <c r="E25" s="96" t="s">
        <v>66</v>
      </c>
      <c r="F25" s="97">
        <v>669.62</v>
      </c>
      <c r="G25" s="98">
        <v>396.71</v>
      </c>
      <c r="H25" s="97">
        <v>265645</v>
      </c>
      <c r="I25" s="79"/>
      <c r="J25" s="19"/>
      <c r="K25" s="109">
        <v>310.67999999999984</v>
      </c>
      <c r="L25" s="110">
        <v>123249.9</v>
      </c>
      <c r="M25" s="19"/>
      <c r="N25" s="109">
        <v>384.14000000000004</v>
      </c>
      <c r="O25" s="110">
        <v>152392.20000000001</v>
      </c>
      <c r="P25" s="19"/>
      <c r="Q25" s="109">
        <v>199.34000000000015</v>
      </c>
      <c r="R25" s="110">
        <v>79080.2</v>
      </c>
      <c r="S25" s="19"/>
      <c r="T25" s="109">
        <v>537.08000000000004</v>
      </c>
      <c r="U25" s="110">
        <v>213065</v>
      </c>
      <c r="V25" s="19"/>
      <c r="W25" s="109">
        <v>60.1</v>
      </c>
      <c r="X25" s="110">
        <v>23842.3</v>
      </c>
      <c r="Y25" s="86"/>
      <c r="Z25" s="109">
        <v>541.62999999999988</v>
      </c>
      <c r="AA25" s="110">
        <v>214870</v>
      </c>
      <c r="AB25" s="86"/>
      <c r="AC25" s="109">
        <v>16.970000000000027</v>
      </c>
      <c r="AD25" s="110">
        <v>6732.1687000000102</v>
      </c>
    </row>
    <row r="26" spans="1:30" x14ac:dyDescent="0.25">
      <c r="A26" s="99"/>
      <c r="B26" s="135" t="s">
        <v>67</v>
      </c>
      <c r="C26" s="100" t="s">
        <v>68</v>
      </c>
      <c r="D26" s="101" t="s">
        <v>69</v>
      </c>
      <c r="E26" s="99"/>
      <c r="F26" s="102">
        <v>669.62</v>
      </c>
      <c r="G26" s="103"/>
      <c r="H26" s="99"/>
      <c r="I26" s="111"/>
      <c r="J26" s="99"/>
      <c r="K26" s="112"/>
      <c r="L26" s="113"/>
      <c r="M26" s="99"/>
      <c r="N26" s="112"/>
      <c r="O26" s="113"/>
      <c r="P26" s="99"/>
      <c r="Q26" s="112"/>
      <c r="R26" s="113"/>
      <c r="S26" s="99"/>
      <c r="T26" s="112"/>
      <c r="U26" s="113"/>
      <c r="V26" s="99"/>
      <c r="W26" s="112"/>
      <c r="X26" s="113"/>
      <c r="Y26" s="99"/>
      <c r="Z26" s="112"/>
      <c r="AA26" s="113"/>
      <c r="AB26" s="100"/>
      <c r="AC26" s="112"/>
      <c r="AD26" s="113"/>
    </row>
    <row r="27" spans="1:30" x14ac:dyDescent="0.25">
      <c r="A27" s="99"/>
      <c r="B27" s="135" t="s">
        <v>67</v>
      </c>
      <c r="C27" s="100" t="s">
        <v>68</v>
      </c>
      <c r="D27" s="101" t="s">
        <v>70</v>
      </c>
      <c r="E27" s="99"/>
      <c r="F27" s="102">
        <v>0</v>
      </c>
      <c r="G27" s="103"/>
      <c r="H27" s="99"/>
      <c r="I27" s="111"/>
      <c r="J27" s="19"/>
      <c r="K27" s="114"/>
      <c r="L27" s="115"/>
      <c r="M27" s="99"/>
      <c r="N27" s="114"/>
      <c r="O27" s="115"/>
      <c r="P27" s="99"/>
      <c r="Q27" s="114"/>
      <c r="R27" s="115"/>
      <c r="S27" s="99"/>
      <c r="T27" s="114"/>
      <c r="U27" s="115"/>
      <c r="V27" s="99"/>
      <c r="W27" s="114"/>
      <c r="X27" s="115"/>
      <c r="Y27" s="99"/>
      <c r="Z27" s="114"/>
      <c r="AA27" s="115"/>
      <c r="AB27" s="100"/>
      <c r="AC27" s="114"/>
      <c r="AD27" s="115"/>
    </row>
    <row r="28" spans="1:30" x14ac:dyDescent="0.25">
      <c r="A28" s="104"/>
      <c r="B28" s="135" t="s">
        <v>67</v>
      </c>
      <c r="C28" s="105" t="s">
        <v>68</v>
      </c>
      <c r="D28" s="106" t="s">
        <v>71</v>
      </c>
      <c r="E28" s="104"/>
      <c r="F28" s="107">
        <v>669.62</v>
      </c>
      <c r="G28" s="108"/>
      <c r="H28" s="104"/>
      <c r="I28" s="116"/>
      <c r="J28" s="99"/>
      <c r="K28" s="112"/>
      <c r="L28" s="113"/>
      <c r="M28" s="104"/>
      <c r="N28" s="112"/>
      <c r="O28" s="113"/>
      <c r="P28" s="104"/>
      <c r="Q28" s="112"/>
      <c r="R28" s="113"/>
      <c r="S28" s="104"/>
      <c r="T28" s="112"/>
      <c r="U28" s="113"/>
      <c r="V28" s="104"/>
      <c r="W28" s="112"/>
      <c r="X28" s="113"/>
      <c r="Y28" s="104"/>
      <c r="Z28" s="112"/>
      <c r="AA28" s="113"/>
      <c r="AB28" s="105"/>
      <c r="AC28" s="112"/>
      <c r="AD28" s="113"/>
    </row>
    <row r="29" spans="1:30" x14ac:dyDescent="0.25">
      <c r="A29" s="72"/>
      <c r="B29" s="133" t="s">
        <v>48</v>
      </c>
      <c r="C29" s="77" t="s">
        <v>80</v>
      </c>
      <c r="D29" s="77" t="s">
        <v>81</v>
      </c>
      <c r="E29" s="72"/>
      <c r="F29" s="72"/>
      <c r="G29" s="75"/>
      <c r="H29" s="78">
        <v>0</v>
      </c>
      <c r="I29" s="87"/>
      <c r="J29" s="19"/>
      <c r="K29" s="114"/>
      <c r="L29" s="115"/>
      <c r="M29" s="72"/>
      <c r="N29" s="114"/>
      <c r="O29" s="115"/>
      <c r="P29" s="72"/>
      <c r="Q29" s="114"/>
      <c r="R29" s="115"/>
      <c r="S29" s="72"/>
      <c r="T29" s="114"/>
      <c r="U29" s="115"/>
      <c r="V29" s="72"/>
      <c r="W29" s="114"/>
      <c r="X29" s="115"/>
      <c r="Y29" s="88"/>
      <c r="Z29" s="114"/>
      <c r="AA29" s="115"/>
      <c r="AB29" s="89"/>
      <c r="AC29" s="114"/>
      <c r="AD29" s="115"/>
    </row>
    <row r="30" spans="1:30" ht="30" x14ac:dyDescent="0.25">
      <c r="A30" s="92" t="s">
        <v>82</v>
      </c>
      <c r="B30" s="134" t="s">
        <v>63</v>
      </c>
      <c r="C30" s="94" t="s">
        <v>83</v>
      </c>
      <c r="D30" s="95" t="s">
        <v>84</v>
      </c>
      <c r="E30" s="96" t="s">
        <v>85</v>
      </c>
      <c r="F30" s="97">
        <v>330.82</v>
      </c>
      <c r="G30" s="98">
        <v>183.7</v>
      </c>
      <c r="H30" s="97">
        <v>60771.6</v>
      </c>
      <c r="I30" s="79"/>
      <c r="J30" s="19"/>
      <c r="K30" s="109">
        <v>39.76703999999998</v>
      </c>
      <c r="L30" s="110">
        <v>7305.2</v>
      </c>
      <c r="M30" s="19"/>
      <c r="N30" s="109">
        <v>49.169920000000005</v>
      </c>
      <c r="O30" s="110">
        <v>9032.5</v>
      </c>
      <c r="P30" s="19"/>
      <c r="Q30" s="109">
        <v>25.51552000000002</v>
      </c>
      <c r="R30" s="110">
        <v>4687.2</v>
      </c>
      <c r="S30" s="19"/>
      <c r="T30" s="109">
        <v>68.74624</v>
      </c>
      <c r="U30" s="110">
        <v>12628.7</v>
      </c>
      <c r="V30" s="19"/>
      <c r="W30" s="109">
        <v>7.6928000000000001</v>
      </c>
      <c r="X30" s="110">
        <v>1413.2</v>
      </c>
      <c r="Y30" s="86"/>
      <c r="Z30" s="109">
        <v>69.328639999999993</v>
      </c>
      <c r="AA30" s="110">
        <v>12735.7</v>
      </c>
      <c r="AB30" s="86"/>
      <c r="AC30" s="109">
        <v>2.1721600000000034</v>
      </c>
      <c r="AD30" s="110">
        <v>399.02579200000059</v>
      </c>
    </row>
    <row r="31" spans="1:30" ht="30" x14ac:dyDescent="0.25">
      <c r="A31" s="92" t="s">
        <v>86</v>
      </c>
      <c r="B31" s="134" t="s">
        <v>63</v>
      </c>
      <c r="C31" s="94" t="s">
        <v>87</v>
      </c>
      <c r="D31" s="95" t="s">
        <v>88</v>
      </c>
      <c r="E31" s="96" t="s">
        <v>85</v>
      </c>
      <c r="F31" s="97">
        <v>175.86</v>
      </c>
      <c r="G31" s="98">
        <v>257.77999999999997</v>
      </c>
      <c r="H31" s="97">
        <v>45333.2</v>
      </c>
      <c r="I31" s="79"/>
      <c r="J31" s="99"/>
      <c r="K31" s="109">
        <v>39.76703999999998</v>
      </c>
      <c r="L31" s="110">
        <v>10251.1</v>
      </c>
      <c r="M31" s="19"/>
      <c r="N31" s="109">
        <v>49.169920000000005</v>
      </c>
      <c r="O31" s="110">
        <v>12675</v>
      </c>
      <c r="P31" s="19"/>
      <c r="Q31" s="109">
        <v>25.51552000000002</v>
      </c>
      <c r="R31" s="110">
        <v>6577.4</v>
      </c>
      <c r="S31" s="19"/>
      <c r="T31" s="109">
        <v>68.74624</v>
      </c>
      <c r="U31" s="110">
        <v>17721.400000000001</v>
      </c>
      <c r="V31" s="19"/>
      <c r="W31" s="109">
        <v>7.6928000000000001</v>
      </c>
      <c r="X31" s="110">
        <v>1983</v>
      </c>
      <c r="Y31" s="86"/>
      <c r="Z31" s="109">
        <v>69.328639999999993</v>
      </c>
      <c r="AA31" s="110">
        <v>17871.5</v>
      </c>
      <c r="AB31" s="86"/>
      <c r="AC31" s="109">
        <v>2.1721600000000034</v>
      </c>
      <c r="AD31" s="110">
        <v>559.93940480000083</v>
      </c>
    </row>
    <row r="32" spans="1:30" x14ac:dyDescent="0.25">
      <c r="A32" s="99"/>
      <c r="B32" s="135" t="s">
        <v>67</v>
      </c>
      <c r="C32" s="100" t="s">
        <v>68</v>
      </c>
      <c r="D32" s="101" t="s">
        <v>89</v>
      </c>
      <c r="E32" s="99"/>
      <c r="F32" s="102">
        <v>85.71</v>
      </c>
      <c r="G32" s="103"/>
      <c r="H32" s="99"/>
      <c r="I32" s="111"/>
      <c r="J32" s="19"/>
      <c r="K32" s="114"/>
      <c r="L32" s="115"/>
      <c r="M32" s="99"/>
      <c r="N32" s="114"/>
      <c r="O32" s="115"/>
      <c r="P32" s="99"/>
      <c r="Q32" s="114"/>
      <c r="R32" s="115"/>
      <c r="S32" s="99"/>
      <c r="T32" s="114"/>
      <c r="U32" s="115"/>
      <c r="V32" s="99"/>
      <c r="W32" s="114"/>
      <c r="X32" s="115"/>
      <c r="Y32" s="99"/>
      <c r="Z32" s="114"/>
      <c r="AA32" s="115"/>
      <c r="AB32" s="100"/>
      <c r="AC32" s="114"/>
      <c r="AD32" s="115"/>
    </row>
    <row r="33" spans="1:30" x14ac:dyDescent="0.25">
      <c r="A33" s="99"/>
      <c r="B33" s="135" t="s">
        <v>67</v>
      </c>
      <c r="C33" s="100" t="s">
        <v>68</v>
      </c>
      <c r="D33" s="101" t="s">
        <v>90</v>
      </c>
      <c r="E33" s="99"/>
      <c r="F33" s="102">
        <v>0</v>
      </c>
      <c r="G33" s="103"/>
      <c r="H33" s="99"/>
      <c r="I33" s="111"/>
      <c r="J33" s="99"/>
      <c r="K33" s="112"/>
      <c r="L33" s="113"/>
      <c r="M33" s="99"/>
      <c r="N33" s="112"/>
      <c r="O33" s="113"/>
      <c r="P33" s="99"/>
      <c r="Q33" s="112"/>
      <c r="R33" s="113"/>
      <c r="S33" s="99"/>
      <c r="T33" s="112"/>
      <c r="U33" s="113"/>
      <c r="V33" s="99"/>
      <c r="W33" s="112"/>
      <c r="X33" s="113"/>
      <c r="Y33" s="99"/>
      <c r="Z33" s="112"/>
      <c r="AA33" s="113"/>
      <c r="AB33" s="100"/>
      <c r="AC33" s="112"/>
      <c r="AD33" s="113"/>
    </row>
    <row r="34" spans="1:30" x14ac:dyDescent="0.25">
      <c r="A34" s="99"/>
      <c r="B34" s="135" t="s">
        <v>67</v>
      </c>
      <c r="C34" s="100" t="s">
        <v>68</v>
      </c>
      <c r="D34" s="101" t="s">
        <v>91</v>
      </c>
      <c r="E34" s="99"/>
      <c r="F34" s="102">
        <v>90.15</v>
      </c>
      <c r="G34" s="103"/>
      <c r="H34" s="99"/>
      <c r="I34" s="111"/>
      <c r="J34" s="72"/>
      <c r="K34" s="117"/>
      <c r="L34" s="118"/>
      <c r="M34" s="99"/>
      <c r="N34" s="117"/>
      <c r="O34" s="118"/>
      <c r="P34" s="99"/>
      <c r="Q34" s="117"/>
      <c r="R34" s="118"/>
      <c r="S34" s="99"/>
      <c r="T34" s="117"/>
      <c r="U34" s="118"/>
      <c r="V34" s="99"/>
      <c r="W34" s="117"/>
      <c r="X34" s="118"/>
      <c r="Y34" s="99"/>
      <c r="Z34" s="117"/>
      <c r="AA34" s="118"/>
      <c r="AB34" s="100"/>
      <c r="AC34" s="117"/>
      <c r="AD34" s="118"/>
    </row>
    <row r="35" spans="1:30" x14ac:dyDescent="0.25">
      <c r="A35" s="99"/>
      <c r="B35" s="135" t="s">
        <v>67</v>
      </c>
      <c r="C35" s="100" t="s">
        <v>68</v>
      </c>
      <c r="D35" s="101" t="s">
        <v>92</v>
      </c>
      <c r="E35" s="99"/>
      <c r="F35" s="102">
        <v>0</v>
      </c>
      <c r="G35" s="103"/>
      <c r="H35" s="99"/>
      <c r="I35" s="111"/>
      <c r="J35" s="19"/>
      <c r="K35" s="114"/>
      <c r="L35" s="115"/>
      <c r="M35" s="99"/>
      <c r="N35" s="114"/>
      <c r="O35" s="115"/>
      <c r="P35" s="99"/>
      <c r="Q35" s="114"/>
      <c r="R35" s="115"/>
      <c r="S35" s="99"/>
      <c r="T35" s="114"/>
      <c r="U35" s="115"/>
      <c r="V35" s="99"/>
      <c r="W35" s="114"/>
      <c r="X35" s="115"/>
      <c r="Y35" s="99"/>
      <c r="Z35" s="114"/>
      <c r="AA35" s="115"/>
      <c r="AB35" s="100"/>
      <c r="AC35" s="114"/>
      <c r="AD35" s="115"/>
    </row>
    <row r="36" spans="1:30" x14ac:dyDescent="0.25">
      <c r="A36" s="104"/>
      <c r="B36" s="135" t="s">
        <v>67</v>
      </c>
      <c r="C36" s="105" t="s">
        <v>68</v>
      </c>
      <c r="D36" s="106" t="s">
        <v>71</v>
      </c>
      <c r="E36" s="104"/>
      <c r="F36" s="107">
        <v>175.86</v>
      </c>
      <c r="G36" s="108"/>
      <c r="H36" s="104"/>
      <c r="I36" s="116"/>
      <c r="J36" s="99"/>
      <c r="K36" s="112"/>
      <c r="L36" s="113"/>
      <c r="M36" s="99"/>
      <c r="N36" s="112"/>
      <c r="O36" s="113"/>
      <c r="P36" s="104"/>
      <c r="Q36" s="112"/>
      <c r="R36" s="113"/>
      <c r="S36" s="104"/>
      <c r="T36" s="112"/>
      <c r="U36" s="113"/>
      <c r="V36" s="104"/>
      <c r="W36" s="112"/>
      <c r="X36" s="113"/>
      <c r="Y36" s="104"/>
      <c r="Z36" s="112"/>
      <c r="AA36" s="113"/>
      <c r="AB36" s="105"/>
      <c r="AC36" s="112"/>
      <c r="AD36" s="113"/>
    </row>
    <row r="37" spans="1:30" x14ac:dyDescent="0.25">
      <c r="A37" s="119"/>
      <c r="B37" s="136"/>
      <c r="C37" s="119"/>
      <c r="D37" s="119"/>
      <c r="E37" s="119"/>
      <c r="F37" s="119"/>
      <c r="G37" s="120"/>
      <c r="H37" s="119"/>
      <c r="I37" s="79"/>
      <c r="J37" s="104"/>
      <c r="K37" s="122"/>
      <c r="L37" s="123"/>
      <c r="M37" s="19"/>
      <c r="N37" s="122"/>
      <c r="O37" s="123"/>
      <c r="P37" s="19"/>
      <c r="Q37" s="122"/>
      <c r="R37" s="123"/>
      <c r="S37" s="19"/>
      <c r="T37" s="122"/>
      <c r="U37" s="123"/>
      <c r="V37" s="19"/>
      <c r="W37" s="122"/>
      <c r="X37" s="123"/>
      <c r="Y37" s="19"/>
      <c r="Z37" s="122"/>
      <c r="AA37" s="123"/>
      <c r="AB37" s="19"/>
      <c r="AC37" s="122"/>
      <c r="AD37" s="123"/>
    </row>
    <row r="38" spans="1:30" x14ac:dyDescent="0.25">
      <c r="G38" s="121"/>
      <c r="K38" s="124"/>
      <c r="L38" s="125"/>
      <c r="N38" s="124"/>
      <c r="O38" s="125"/>
      <c r="Q38" s="124"/>
      <c r="R38" s="125"/>
      <c r="T38" s="124"/>
      <c r="U38" s="125"/>
      <c r="W38" s="124"/>
      <c r="X38" s="125"/>
      <c r="Z38" s="124"/>
      <c r="AA38" s="125"/>
      <c r="AC38" s="124"/>
      <c r="AD38" s="125"/>
    </row>
    <row r="39" spans="1:30" x14ac:dyDescent="0.25">
      <c r="A39" s="92" t="s">
        <v>93</v>
      </c>
      <c r="B39" s="134"/>
      <c r="C39" s="94" t="s">
        <v>94</v>
      </c>
      <c r="D39" s="95" t="s">
        <v>95</v>
      </c>
      <c r="E39" s="96" t="s">
        <v>96</v>
      </c>
      <c r="F39" s="97"/>
      <c r="G39" s="98">
        <v>4829</v>
      </c>
      <c r="H39" s="97">
        <v>0</v>
      </c>
      <c r="I39" s="79"/>
      <c r="J39" s="19"/>
      <c r="K39" s="109">
        <v>8</v>
      </c>
      <c r="L39" s="110">
        <v>38632</v>
      </c>
      <c r="M39" s="99"/>
      <c r="N39" s="109">
        <v>9.2100000000000009</v>
      </c>
      <c r="O39" s="110">
        <v>44475.1</v>
      </c>
      <c r="P39" s="19"/>
      <c r="Q39" s="109">
        <v>8</v>
      </c>
      <c r="R39" s="110">
        <v>38632</v>
      </c>
      <c r="S39" s="19"/>
      <c r="T39" s="109">
        <v>17</v>
      </c>
      <c r="U39" s="110">
        <v>82093</v>
      </c>
      <c r="V39" s="19"/>
      <c r="W39" s="109">
        <v>3</v>
      </c>
      <c r="X39" s="110">
        <v>14487</v>
      </c>
      <c r="Y39" s="86"/>
      <c r="Z39" s="109">
        <v>18</v>
      </c>
      <c r="AA39" s="110">
        <v>86922</v>
      </c>
      <c r="AB39" s="86"/>
      <c r="AC39" s="109"/>
      <c r="AD39" s="110">
        <v>0</v>
      </c>
    </row>
    <row r="40" spans="1:30" x14ac:dyDescent="0.25">
      <c r="A40" s="92"/>
      <c r="B40" s="134" t="s">
        <v>63</v>
      </c>
      <c r="C40" s="94">
        <v>938909611</v>
      </c>
      <c r="D40" s="95" t="s">
        <v>97</v>
      </c>
      <c r="E40" s="96" t="s">
        <v>66</v>
      </c>
      <c r="F40" s="97"/>
      <c r="G40" s="98">
        <v>26.9</v>
      </c>
      <c r="H40" s="97">
        <v>0</v>
      </c>
      <c r="I40" s="79"/>
      <c r="J40" s="19"/>
      <c r="K40" s="109">
        <v>171.75</v>
      </c>
      <c r="L40" s="110">
        <v>4620.1000000000004</v>
      </c>
      <c r="M40" s="19"/>
      <c r="N40" s="109">
        <v>30.5</v>
      </c>
      <c r="O40" s="110">
        <v>820.5</v>
      </c>
      <c r="P40" s="19"/>
      <c r="Q40" s="109">
        <v>163</v>
      </c>
      <c r="R40" s="110">
        <v>4384.7</v>
      </c>
      <c r="S40" s="19"/>
      <c r="T40" s="109">
        <v>353.5</v>
      </c>
      <c r="U40" s="110">
        <v>9509.2000000000007</v>
      </c>
      <c r="V40" s="19"/>
      <c r="W40" s="109">
        <v>12.65</v>
      </c>
      <c r="X40" s="110">
        <v>340.3</v>
      </c>
      <c r="Y40" s="86"/>
      <c r="Z40" s="109">
        <v>76</v>
      </c>
      <c r="AA40" s="110">
        <v>2044.4</v>
      </c>
      <c r="AB40" s="86"/>
      <c r="AC40" s="109">
        <v>141.5</v>
      </c>
      <c r="AD40" s="110">
        <v>3806.35</v>
      </c>
    </row>
    <row r="41" spans="1:30" ht="15.75" thickBot="1" x14ac:dyDescent="0.3">
      <c r="A41" s="92"/>
      <c r="B41" s="134" t="s">
        <v>63</v>
      </c>
      <c r="C41" s="94">
        <v>569911131</v>
      </c>
      <c r="D41" s="95" t="s">
        <v>98</v>
      </c>
      <c r="E41" s="96" t="s">
        <v>66</v>
      </c>
      <c r="F41" s="97"/>
      <c r="G41" s="98">
        <v>52.72</v>
      </c>
      <c r="H41" s="97">
        <v>0</v>
      </c>
      <c r="I41" s="79"/>
      <c r="J41" s="19"/>
      <c r="K41" s="126">
        <v>128.8125</v>
      </c>
      <c r="L41" s="127">
        <v>6791</v>
      </c>
      <c r="M41" s="19"/>
      <c r="N41" s="126">
        <v>22.875</v>
      </c>
      <c r="O41" s="127">
        <v>1206</v>
      </c>
      <c r="P41" s="19"/>
      <c r="Q41" s="126">
        <v>122.25</v>
      </c>
      <c r="R41" s="127">
        <v>6445</v>
      </c>
      <c r="S41" s="19"/>
      <c r="T41" s="126">
        <v>265.125</v>
      </c>
      <c r="U41" s="127">
        <v>13977.4</v>
      </c>
      <c r="V41" s="19"/>
      <c r="W41" s="126">
        <v>9.4875000000000007</v>
      </c>
      <c r="X41" s="127">
        <v>500.2</v>
      </c>
      <c r="Y41" s="86"/>
      <c r="Z41" s="126">
        <v>57</v>
      </c>
      <c r="AA41" s="127">
        <v>3005</v>
      </c>
      <c r="AB41" s="86"/>
      <c r="AC41" s="126">
        <v>106.125</v>
      </c>
      <c r="AD41" s="127">
        <v>5594.91</v>
      </c>
    </row>
    <row r="42" spans="1:30" ht="15.75" thickBot="1" x14ac:dyDescent="0.3"/>
    <row r="43" spans="1:30" x14ac:dyDescent="0.25">
      <c r="K43" s="138" t="s">
        <v>120</v>
      </c>
      <c r="L43" s="139" t="s">
        <v>121</v>
      </c>
    </row>
    <row r="44" spans="1:30" ht="20.25" x14ac:dyDescent="0.25">
      <c r="A44" s="63"/>
      <c r="B44" s="19"/>
      <c r="C44" s="63" t="s">
        <v>99</v>
      </c>
      <c r="D44" s="19"/>
      <c r="E44" s="19"/>
      <c r="F44" s="19"/>
      <c r="G44" s="64"/>
      <c r="H44" s="19"/>
      <c r="K44" s="435">
        <v>80.199999999999932</v>
      </c>
      <c r="L44" s="436"/>
    </row>
    <row r="45" spans="1:30" ht="24.75" thickBot="1" x14ac:dyDescent="0.3">
      <c r="A45" s="137" t="s">
        <v>39</v>
      </c>
      <c r="B45" s="66" t="s">
        <v>40</v>
      </c>
      <c r="C45" s="66" t="s">
        <v>41</v>
      </c>
      <c r="D45" s="66" t="s">
        <v>42</v>
      </c>
      <c r="E45" s="66" t="s">
        <v>43</v>
      </c>
      <c r="F45" s="66" t="s">
        <v>44</v>
      </c>
      <c r="G45" s="67" t="s">
        <v>45</v>
      </c>
      <c r="H45" s="68" t="s">
        <v>46</v>
      </c>
      <c r="K45" s="140" t="s">
        <v>60</v>
      </c>
      <c r="L45" s="141" t="s">
        <v>61</v>
      </c>
    </row>
    <row r="46" spans="1:30" ht="16.5" thickBot="1" x14ac:dyDescent="0.3">
      <c r="A46" s="69" t="s">
        <v>47</v>
      </c>
      <c r="B46" s="70"/>
      <c r="C46" s="19"/>
      <c r="D46" s="19"/>
      <c r="E46" s="19"/>
      <c r="F46" s="19"/>
      <c r="G46" s="64"/>
      <c r="H46" s="71"/>
      <c r="K46" s="142"/>
      <c r="L46" s="143">
        <v>-155723.32370559988</v>
      </c>
    </row>
    <row r="47" spans="1:30" ht="15.75" x14ac:dyDescent="0.25">
      <c r="A47" s="72"/>
      <c r="B47" s="73" t="s">
        <v>48</v>
      </c>
      <c r="C47" s="74" t="s">
        <v>49</v>
      </c>
      <c r="D47" s="74" t="s">
        <v>50</v>
      </c>
      <c r="E47" s="72"/>
      <c r="F47" s="72"/>
      <c r="G47" s="75"/>
      <c r="H47" s="76"/>
      <c r="K47" s="437"/>
      <c r="L47" s="438"/>
    </row>
    <row r="48" spans="1:30" x14ac:dyDescent="0.25">
      <c r="A48" s="72"/>
      <c r="B48" s="73" t="s">
        <v>48</v>
      </c>
      <c r="C48" s="77" t="s">
        <v>51</v>
      </c>
      <c r="D48" s="77" t="s">
        <v>52</v>
      </c>
      <c r="E48" s="72"/>
      <c r="F48" s="72"/>
      <c r="G48" s="75"/>
      <c r="H48" s="78"/>
      <c r="K48" s="90"/>
      <c r="L48" s="91"/>
    </row>
    <row r="49" spans="1:12" ht="30" x14ac:dyDescent="0.25">
      <c r="A49" s="92" t="s">
        <v>100</v>
      </c>
      <c r="B49" s="93" t="s">
        <v>63</v>
      </c>
      <c r="C49" s="94" t="s">
        <v>64</v>
      </c>
      <c r="D49" s="95" t="s">
        <v>65</v>
      </c>
      <c r="E49" s="96" t="s">
        <v>66</v>
      </c>
      <c r="F49" s="97">
        <v>681.66</v>
      </c>
      <c r="G49" s="98">
        <v>55.24</v>
      </c>
      <c r="H49" s="97">
        <v>37654.9</v>
      </c>
      <c r="K49" s="144">
        <v>-88.219999999999928</v>
      </c>
      <c r="L49" s="145">
        <v>-4873.2727999999961</v>
      </c>
    </row>
    <row r="50" spans="1:12" x14ac:dyDescent="0.25">
      <c r="A50" s="72"/>
      <c r="B50" s="73" t="s">
        <v>48</v>
      </c>
      <c r="C50" s="77" t="s">
        <v>72</v>
      </c>
      <c r="D50" s="77" t="s">
        <v>73</v>
      </c>
      <c r="E50" s="72"/>
      <c r="F50" s="72"/>
      <c r="G50" s="75"/>
      <c r="H50" s="78">
        <v>0</v>
      </c>
      <c r="K50" s="144"/>
      <c r="L50" s="145"/>
    </row>
    <row r="51" spans="1:12" x14ac:dyDescent="0.25">
      <c r="A51" s="92" t="s">
        <v>101</v>
      </c>
      <c r="B51" s="93" t="s">
        <v>63</v>
      </c>
      <c r="C51" s="94" t="s">
        <v>102</v>
      </c>
      <c r="D51" s="95" t="s">
        <v>103</v>
      </c>
      <c r="E51" s="96" t="s">
        <v>66</v>
      </c>
      <c r="F51" s="97">
        <v>357.06</v>
      </c>
      <c r="G51" s="98">
        <v>14.18</v>
      </c>
      <c r="H51" s="97">
        <v>5063.1000000000004</v>
      </c>
      <c r="K51" s="144">
        <v>-88.219999999999928</v>
      </c>
      <c r="L51" s="145">
        <v>-1250.959599999999</v>
      </c>
    </row>
    <row r="52" spans="1:12" x14ac:dyDescent="0.25">
      <c r="A52" s="92" t="s">
        <v>104</v>
      </c>
      <c r="B52" s="93" t="s">
        <v>63</v>
      </c>
      <c r="C52" s="94" t="s">
        <v>75</v>
      </c>
      <c r="D52" s="95" t="s">
        <v>76</v>
      </c>
      <c r="E52" s="96" t="s">
        <v>66</v>
      </c>
      <c r="F52" s="97">
        <v>681.66</v>
      </c>
      <c r="G52" s="98">
        <v>20.62</v>
      </c>
      <c r="H52" s="97">
        <v>14055.8</v>
      </c>
      <c r="K52" s="144">
        <v>-168.41999999999987</v>
      </c>
      <c r="L52" s="145">
        <v>-3472.8203999999978</v>
      </c>
    </row>
    <row r="53" spans="1:12" ht="30" x14ac:dyDescent="0.25">
      <c r="A53" s="92" t="s">
        <v>105</v>
      </c>
      <c r="B53" s="93" t="s">
        <v>63</v>
      </c>
      <c r="C53" s="94" t="s">
        <v>78</v>
      </c>
      <c r="D53" s="95" t="s">
        <v>79</v>
      </c>
      <c r="E53" s="96" t="s">
        <v>66</v>
      </c>
      <c r="F53" s="97">
        <v>681.66</v>
      </c>
      <c r="G53" s="98">
        <v>396.71</v>
      </c>
      <c r="H53" s="97">
        <v>270421.3</v>
      </c>
      <c r="K53" s="144">
        <v>-168.41999999999987</v>
      </c>
      <c r="L53" s="145">
        <v>-66813.898199999952</v>
      </c>
    </row>
    <row r="54" spans="1:12" ht="30" x14ac:dyDescent="0.25">
      <c r="A54" s="92" t="s">
        <v>106</v>
      </c>
      <c r="B54" s="93" t="s">
        <v>63</v>
      </c>
      <c r="C54" s="94" t="s">
        <v>107</v>
      </c>
      <c r="D54" s="95" t="s">
        <v>108</v>
      </c>
      <c r="E54" s="96" t="s">
        <v>66</v>
      </c>
      <c r="F54" s="97">
        <v>357.06</v>
      </c>
      <c r="G54" s="98">
        <v>559.51</v>
      </c>
      <c r="H54" s="97">
        <v>199778.6</v>
      </c>
      <c r="K54" s="144">
        <v>-88.219999999999928</v>
      </c>
      <c r="L54" s="145">
        <v>-49359.97219999996</v>
      </c>
    </row>
    <row r="55" spans="1:12" x14ac:dyDescent="0.25">
      <c r="A55" s="72"/>
      <c r="B55" s="73" t="s">
        <v>48</v>
      </c>
      <c r="C55" s="77" t="s">
        <v>109</v>
      </c>
      <c r="D55" s="77" t="s">
        <v>110</v>
      </c>
      <c r="E55" s="72"/>
      <c r="F55" s="72"/>
      <c r="G55" s="75"/>
      <c r="H55" s="78">
        <v>0</v>
      </c>
      <c r="K55" s="144"/>
      <c r="L55" s="145"/>
    </row>
    <row r="56" spans="1:12" ht="30" x14ac:dyDescent="0.25">
      <c r="A56" s="92" t="s">
        <v>111</v>
      </c>
      <c r="B56" s="93" t="s">
        <v>63</v>
      </c>
      <c r="C56" s="94" t="s">
        <v>112</v>
      </c>
      <c r="D56" s="95" t="s">
        <v>113</v>
      </c>
      <c r="E56" s="96" t="s">
        <v>114</v>
      </c>
      <c r="F56" s="97">
        <v>649.20000000000005</v>
      </c>
      <c r="G56" s="98">
        <v>87.65</v>
      </c>
      <c r="H56" s="97">
        <v>56902.400000000001</v>
      </c>
      <c r="K56" s="144">
        <v>-160.39999999999986</v>
      </c>
      <c r="L56" s="110">
        <v>-14059.059999999989</v>
      </c>
    </row>
    <row r="57" spans="1:12" x14ac:dyDescent="0.25">
      <c r="A57" s="92" t="s">
        <v>115</v>
      </c>
      <c r="B57" s="93" t="s">
        <v>63</v>
      </c>
      <c r="C57" s="94" t="s">
        <v>116</v>
      </c>
      <c r="D57" s="95" t="s">
        <v>117</v>
      </c>
      <c r="E57" s="96" t="s">
        <v>114</v>
      </c>
      <c r="F57" s="97">
        <v>649.20000000000005</v>
      </c>
      <c r="G57" s="98">
        <v>72.34</v>
      </c>
      <c r="H57" s="97">
        <v>46963.1</v>
      </c>
      <c r="K57" s="144">
        <v>-160.39999999999986</v>
      </c>
      <c r="L57" s="110">
        <v>-11603.33599999999</v>
      </c>
    </row>
    <row r="58" spans="1:12" x14ac:dyDescent="0.25">
      <c r="A58" s="72"/>
      <c r="B58" s="73" t="s">
        <v>48</v>
      </c>
      <c r="C58" s="77" t="s">
        <v>80</v>
      </c>
      <c r="D58" s="77" t="s">
        <v>81</v>
      </c>
      <c r="E58" s="72"/>
      <c r="F58" s="72"/>
      <c r="G58" s="75"/>
      <c r="H58" s="78">
        <v>0</v>
      </c>
      <c r="K58" s="144"/>
      <c r="L58" s="145"/>
    </row>
    <row r="59" spans="1:12" ht="30" x14ac:dyDescent="0.25">
      <c r="A59" s="92" t="s">
        <v>118</v>
      </c>
      <c r="B59" s="93" t="s">
        <v>63</v>
      </c>
      <c r="C59" s="94" t="s">
        <v>83</v>
      </c>
      <c r="D59" s="95" t="s">
        <v>84</v>
      </c>
      <c r="E59" s="96" t="s">
        <v>85</v>
      </c>
      <c r="F59" s="97">
        <v>830.06</v>
      </c>
      <c r="G59" s="98">
        <v>122.13</v>
      </c>
      <c r="H59" s="97">
        <v>101375.2</v>
      </c>
      <c r="K59" s="109">
        <v>-11.29215999999999</v>
      </c>
      <c r="L59" s="110">
        <v>-1379.1115007999988</v>
      </c>
    </row>
    <row r="60" spans="1:12" ht="30" x14ac:dyDescent="0.25">
      <c r="A60" s="92" t="s">
        <v>119</v>
      </c>
      <c r="B60" s="93" t="s">
        <v>63</v>
      </c>
      <c r="C60" s="94" t="s">
        <v>87</v>
      </c>
      <c r="D60" s="95" t="s">
        <v>88</v>
      </c>
      <c r="E60" s="96" t="s">
        <v>85</v>
      </c>
      <c r="F60" s="97">
        <v>178.66</v>
      </c>
      <c r="G60" s="98">
        <v>257.77999999999997</v>
      </c>
      <c r="H60" s="97">
        <v>46055</v>
      </c>
      <c r="K60" s="144">
        <v>-11.29215999999999</v>
      </c>
      <c r="L60" s="110">
        <v>-2910.893004799997</v>
      </c>
    </row>
    <row r="61" spans="1:12" ht="15.75" thickBot="1" x14ac:dyDescent="0.3">
      <c r="A61" s="119"/>
      <c r="B61" s="119"/>
      <c r="C61" s="119"/>
      <c r="D61" s="119"/>
      <c r="E61" s="119"/>
      <c r="F61" s="119"/>
      <c r="G61" s="120"/>
      <c r="H61" s="119"/>
      <c r="K61" s="126"/>
      <c r="L61" s="127"/>
    </row>
    <row r="62" spans="1:12" x14ac:dyDescent="0.25">
      <c r="K62" s="160" t="s">
        <v>131</v>
      </c>
    </row>
    <row r="63" spans="1:12" x14ac:dyDescent="0.25">
      <c r="A63" s="19"/>
      <c r="B63" s="19"/>
      <c r="C63" s="19" t="s">
        <v>122</v>
      </c>
      <c r="D63" s="19"/>
      <c r="E63" s="19"/>
      <c r="F63" s="19"/>
      <c r="G63" s="64"/>
      <c r="H63" s="19"/>
      <c r="K63" s="432" t="s">
        <v>132</v>
      </c>
      <c r="L63" s="432"/>
    </row>
    <row r="64" spans="1:12" ht="24.75" thickBot="1" x14ac:dyDescent="0.3">
      <c r="A64" s="137" t="s">
        <v>39</v>
      </c>
      <c r="B64" s="66" t="s">
        <v>40</v>
      </c>
      <c r="C64" s="66" t="s">
        <v>41</v>
      </c>
      <c r="D64" s="66" t="s">
        <v>42</v>
      </c>
      <c r="E64" s="66" t="s">
        <v>43</v>
      </c>
      <c r="F64" s="66" t="s">
        <v>44</v>
      </c>
      <c r="G64" s="67" t="s">
        <v>45</v>
      </c>
      <c r="H64" s="68" t="s">
        <v>46</v>
      </c>
      <c r="K64" s="161" t="s">
        <v>60</v>
      </c>
      <c r="L64" s="161" t="s">
        <v>61</v>
      </c>
    </row>
    <row r="65" spans="1:12" ht="16.5" thickBot="1" x14ac:dyDescent="0.3">
      <c r="A65" s="146" t="s">
        <v>47</v>
      </c>
      <c r="B65" s="19"/>
      <c r="C65" s="19"/>
      <c r="D65" s="19"/>
      <c r="E65" s="19"/>
      <c r="F65" s="19"/>
      <c r="G65" s="64"/>
      <c r="H65" s="71"/>
      <c r="K65" s="162"/>
      <c r="L65" s="163">
        <v>-19508.566928000004</v>
      </c>
    </row>
    <row r="66" spans="1:12" ht="15.75" x14ac:dyDescent="0.25">
      <c r="A66" s="147"/>
      <c r="B66" s="88" t="s">
        <v>48</v>
      </c>
      <c r="C66" s="74" t="s">
        <v>49</v>
      </c>
      <c r="D66" s="74" t="s">
        <v>50</v>
      </c>
      <c r="E66" s="72"/>
      <c r="F66" s="72"/>
      <c r="G66" s="75"/>
      <c r="H66" s="76"/>
      <c r="K66" s="433"/>
      <c r="L66" s="434"/>
    </row>
    <row r="67" spans="1:12" x14ac:dyDescent="0.25">
      <c r="A67" s="147"/>
      <c r="B67" s="88" t="s">
        <v>48</v>
      </c>
      <c r="C67" s="77" t="s">
        <v>51</v>
      </c>
      <c r="D67" s="77" t="s">
        <v>52</v>
      </c>
      <c r="E67" s="72"/>
      <c r="F67" s="72"/>
      <c r="G67" s="75"/>
      <c r="H67" s="78"/>
      <c r="K67" s="164"/>
      <c r="L67" s="165"/>
    </row>
    <row r="68" spans="1:12" ht="30" x14ac:dyDescent="0.25">
      <c r="A68" s="93" t="s">
        <v>123</v>
      </c>
      <c r="B68" s="148" t="s">
        <v>63</v>
      </c>
      <c r="C68" s="149" t="s">
        <v>64</v>
      </c>
      <c r="D68" s="150" t="s">
        <v>65</v>
      </c>
      <c r="E68" s="151" t="s">
        <v>66</v>
      </c>
      <c r="F68" s="152">
        <v>1499.4</v>
      </c>
      <c r="G68" s="153">
        <v>55.24</v>
      </c>
      <c r="H68" s="152">
        <v>82826.899999999994</v>
      </c>
      <c r="K68" s="166">
        <v>-11.110000000000001</v>
      </c>
      <c r="L68" s="167">
        <v>-613.71640000000014</v>
      </c>
    </row>
    <row r="69" spans="1:12" x14ac:dyDescent="0.25">
      <c r="A69" s="147"/>
      <c r="B69" s="88" t="s">
        <v>48</v>
      </c>
      <c r="C69" s="77" t="s">
        <v>72</v>
      </c>
      <c r="D69" s="77" t="s">
        <v>73</v>
      </c>
      <c r="E69" s="72"/>
      <c r="F69" s="72"/>
      <c r="G69" s="75"/>
      <c r="H69" s="78"/>
      <c r="K69" s="166"/>
      <c r="L69" s="167"/>
    </row>
    <row r="70" spans="1:12" x14ac:dyDescent="0.25">
      <c r="A70" s="93" t="s">
        <v>104</v>
      </c>
      <c r="B70" s="154" t="s">
        <v>63</v>
      </c>
      <c r="C70" s="155" t="s">
        <v>102</v>
      </c>
      <c r="D70" s="156" t="s">
        <v>103</v>
      </c>
      <c r="E70" s="157" t="s">
        <v>66</v>
      </c>
      <c r="F70" s="158">
        <v>785.4</v>
      </c>
      <c r="G70" s="159">
        <v>14.18</v>
      </c>
      <c r="H70" s="158">
        <v>11137</v>
      </c>
      <c r="K70" s="166">
        <v>-11.110000000000001</v>
      </c>
      <c r="L70" s="167">
        <v>-157.53980000000001</v>
      </c>
    </row>
    <row r="71" spans="1:12" x14ac:dyDescent="0.25">
      <c r="A71" s="93" t="s">
        <v>105</v>
      </c>
      <c r="B71" s="148" t="s">
        <v>63</v>
      </c>
      <c r="C71" s="149" t="s">
        <v>75</v>
      </c>
      <c r="D71" s="150" t="s">
        <v>76</v>
      </c>
      <c r="E71" s="151" t="s">
        <v>66</v>
      </c>
      <c r="F71" s="152">
        <v>1499.4</v>
      </c>
      <c r="G71" s="153">
        <v>20.62</v>
      </c>
      <c r="H71" s="152">
        <v>30917.599999999999</v>
      </c>
      <c r="K71" s="166">
        <v>-21.21</v>
      </c>
      <c r="L71" s="167">
        <v>-437.35020000000003</v>
      </c>
    </row>
    <row r="72" spans="1:12" ht="30" x14ac:dyDescent="0.25">
      <c r="A72" s="93" t="s">
        <v>106</v>
      </c>
      <c r="B72" s="148" t="s">
        <v>63</v>
      </c>
      <c r="C72" s="149" t="s">
        <v>78</v>
      </c>
      <c r="D72" s="150" t="s">
        <v>79</v>
      </c>
      <c r="E72" s="151" t="s">
        <v>66</v>
      </c>
      <c r="F72" s="152">
        <v>1499.4</v>
      </c>
      <c r="G72" s="153">
        <v>396.71</v>
      </c>
      <c r="H72" s="152">
        <v>594827</v>
      </c>
      <c r="K72" s="166">
        <v>-21.21</v>
      </c>
      <c r="L72" s="167">
        <v>-8414.2191000000003</v>
      </c>
    </row>
    <row r="73" spans="1:12" ht="30" x14ac:dyDescent="0.25">
      <c r="A73" s="93" t="s">
        <v>124</v>
      </c>
      <c r="B73" s="154" t="s">
        <v>63</v>
      </c>
      <c r="C73" s="155" t="s">
        <v>107</v>
      </c>
      <c r="D73" s="156" t="s">
        <v>108</v>
      </c>
      <c r="E73" s="157" t="s">
        <v>66</v>
      </c>
      <c r="F73" s="158">
        <v>785.4</v>
      </c>
      <c r="G73" s="159">
        <v>559.51</v>
      </c>
      <c r="H73" s="158">
        <v>439439.2</v>
      </c>
      <c r="K73" s="166">
        <v>-11.110000000000001</v>
      </c>
      <c r="L73" s="167">
        <v>-6216.1561000000002</v>
      </c>
    </row>
    <row r="74" spans="1:12" x14ac:dyDescent="0.25">
      <c r="A74" s="147"/>
      <c r="B74" s="88" t="s">
        <v>48</v>
      </c>
      <c r="C74" s="77" t="s">
        <v>109</v>
      </c>
      <c r="D74" s="77" t="s">
        <v>110</v>
      </c>
      <c r="E74" s="72"/>
      <c r="F74" s="72"/>
      <c r="G74" s="75"/>
      <c r="H74" s="78"/>
      <c r="K74" s="166"/>
      <c r="L74" s="167"/>
    </row>
    <row r="75" spans="1:12" ht="30" x14ac:dyDescent="0.25">
      <c r="A75" s="93" t="s">
        <v>125</v>
      </c>
      <c r="B75" s="154" t="s">
        <v>63</v>
      </c>
      <c r="C75" s="155" t="s">
        <v>112</v>
      </c>
      <c r="D75" s="156" t="s">
        <v>113</v>
      </c>
      <c r="E75" s="157" t="s">
        <v>114</v>
      </c>
      <c r="F75" s="158">
        <v>1428</v>
      </c>
      <c r="G75" s="159">
        <v>87.65</v>
      </c>
      <c r="H75" s="158">
        <v>125164.2</v>
      </c>
      <c r="K75" s="166">
        <v>-20.2</v>
      </c>
      <c r="L75" s="167">
        <v>-1770.53</v>
      </c>
    </row>
    <row r="76" spans="1:12" x14ac:dyDescent="0.25">
      <c r="A76" s="93" t="s">
        <v>126</v>
      </c>
      <c r="B76" s="154" t="s">
        <v>63</v>
      </c>
      <c r="C76" s="155" t="s">
        <v>116</v>
      </c>
      <c r="D76" s="156" t="s">
        <v>117</v>
      </c>
      <c r="E76" s="157" t="s">
        <v>114</v>
      </c>
      <c r="F76" s="158">
        <v>1428</v>
      </c>
      <c r="G76" s="159">
        <v>72.34</v>
      </c>
      <c r="H76" s="158">
        <v>103301.5</v>
      </c>
      <c r="K76" s="166">
        <v>-20.2</v>
      </c>
      <c r="L76" s="167">
        <v>-1461.268</v>
      </c>
    </row>
    <row r="77" spans="1:12" x14ac:dyDescent="0.25">
      <c r="A77" s="147"/>
      <c r="B77" s="88" t="s">
        <v>48</v>
      </c>
      <c r="C77" s="77" t="s">
        <v>80</v>
      </c>
      <c r="D77" s="77" t="s">
        <v>81</v>
      </c>
      <c r="E77" s="72"/>
      <c r="F77" s="72"/>
      <c r="G77" s="75"/>
      <c r="H77" s="78"/>
      <c r="K77" s="166"/>
      <c r="L77" s="167"/>
    </row>
    <row r="78" spans="1:12" ht="30" x14ac:dyDescent="0.25">
      <c r="A78" s="93" t="s">
        <v>127</v>
      </c>
      <c r="B78" s="148" t="s">
        <v>63</v>
      </c>
      <c r="C78" s="149" t="s">
        <v>83</v>
      </c>
      <c r="D78" s="150" t="s">
        <v>84</v>
      </c>
      <c r="E78" s="151" t="s">
        <v>85</v>
      </c>
      <c r="F78" s="152">
        <v>1048.51</v>
      </c>
      <c r="G78" s="153">
        <v>153.18</v>
      </c>
      <c r="H78" s="152">
        <v>160610.79999999999</v>
      </c>
      <c r="K78" s="166">
        <v>-1.4220800000000002</v>
      </c>
      <c r="L78" s="167">
        <v>-217.83421440000004</v>
      </c>
    </row>
    <row r="79" spans="1:12" ht="30" x14ac:dyDescent="0.25">
      <c r="A79" s="93" t="s">
        <v>128</v>
      </c>
      <c r="B79" s="148" t="s">
        <v>63</v>
      </c>
      <c r="C79" s="149" t="s">
        <v>129</v>
      </c>
      <c r="D79" s="150" t="s">
        <v>130</v>
      </c>
      <c r="E79" s="151" t="s">
        <v>85</v>
      </c>
      <c r="F79" s="152">
        <v>6.19</v>
      </c>
      <c r="G79" s="153">
        <v>154.66999999999999</v>
      </c>
      <c r="H79" s="152">
        <v>957.4</v>
      </c>
      <c r="K79" s="166">
        <v>-1.4220800000000002</v>
      </c>
      <c r="L79" s="167">
        <v>-219.95311360000002</v>
      </c>
    </row>
    <row r="80" spans="1:12" ht="43.5" customHeight="1" x14ac:dyDescent="0.25">
      <c r="A80" s="119"/>
      <c r="B80" s="119"/>
      <c r="C80" s="119"/>
      <c r="D80" s="119"/>
      <c r="E80" s="119"/>
      <c r="F80" s="119"/>
      <c r="G80" s="120"/>
      <c r="H80" s="119"/>
      <c r="K80" s="166"/>
      <c r="L80" s="167"/>
    </row>
    <row r="81" spans="1:12" x14ac:dyDescent="0.25">
      <c r="K81" s="168" t="s">
        <v>120</v>
      </c>
      <c r="L81" s="169" t="s">
        <v>121</v>
      </c>
    </row>
    <row r="82" spans="1:12" ht="20.25" x14ac:dyDescent="0.25">
      <c r="A82" s="63"/>
      <c r="B82" s="19"/>
      <c r="C82" s="63" t="s">
        <v>133</v>
      </c>
      <c r="D82" s="19"/>
      <c r="E82" s="19"/>
      <c r="F82" s="19"/>
      <c r="G82" s="64"/>
      <c r="H82" s="19"/>
      <c r="K82" s="429">
        <v>169.5</v>
      </c>
      <c r="L82" s="429"/>
    </row>
    <row r="83" spans="1:12" ht="24.75" thickBot="1" x14ac:dyDescent="0.3">
      <c r="A83" s="137" t="s">
        <v>39</v>
      </c>
      <c r="B83" s="66" t="s">
        <v>40</v>
      </c>
      <c r="C83" s="66" t="s">
        <v>41</v>
      </c>
      <c r="D83" s="66" t="s">
        <v>42</v>
      </c>
      <c r="E83" s="66" t="s">
        <v>43</v>
      </c>
      <c r="F83" s="66" t="s">
        <v>44</v>
      </c>
      <c r="G83" s="67" t="s">
        <v>45</v>
      </c>
      <c r="H83" s="68" t="s">
        <v>46</v>
      </c>
      <c r="K83" s="170" t="s">
        <v>60</v>
      </c>
      <c r="L83" s="171" t="s">
        <v>61</v>
      </c>
    </row>
    <row r="84" spans="1:12" ht="16.5" thickBot="1" x14ac:dyDescent="0.3">
      <c r="A84" s="69" t="s">
        <v>47</v>
      </c>
      <c r="B84" s="70"/>
      <c r="C84" s="19"/>
      <c r="D84" s="19"/>
      <c r="E84" s="19"/>
      <c r="F84" s="19"/>
      <c r="G84" s="64"/>
      <c r="H84" s="71">
        <v>0</v>
      </c>
      <c r="K84" s="162"/>
      <c r="L84" s="163">
        <v>-303008.405256</v>
      </c>
    </row>
    <row r="85" spans="1:12" ht="15.75" x14ac:dyDescent="0.25">
      <c r="A85" s="72"/>
      <c r="B85" s="73" t="s">
        <v>48</v>
      </c>
      <c r="C85" s="74" t="s">
        <v>49</v>
      </c>
      <c r="D85" s="74" t="s">
        <v>50</v>
      </c>
      <c r="E85" s="72"/>
      <c r="F85" s="72"/>
      <c r="G85" s="75"/>
      <c r="H85" s="76">
        <v>0</v>
      </c>
      <c r="K85" s="430"/>
      <c r="L85" s="431"/>
    </row>
    <row r="86" spans="1:12" x14ac:dyDescent="0.25">
      <c r="A86" s="72"/>
      <c r="B86" s="73" t="s">
        <v>48</v>
      </c>
      <c r="C86" s="77" t="s">
        <v>51</v>
      </c>
      <c r="D86" s="77" t="s">
        <v>52</v>
      </c>
      <c r="E86" s="72"/>
      <c r="F86" s="72"/>
      <c r="G86" s="75"/>
      <c r="H86" s="78">
        <v>0</v>
      </c>
      <c r="K86" s="172"/>
      <c r="L86" s="173"/>
    </row>
    <row r="87" spans="1:12" ht="30" x14ac:dyDescent="0.25">
      <c r="A87" s="92" t="s">
        <v>100</v>
      </c>
      <c r="B87" s="93" t="s">
        <v>63</v>
      </c>
      <c r="C87" s="94" t="s">
        <v>64</v>
      </c>
      <c r="D87" s="95" t="s">
        <v>65</v>
      </c>
      <c r="E87" s="96" t="s">
        <v>66</v>
      </c>
      <c r="F87" s="97">
        <v>649.61</v>
      </c>
      <c r="G87" s="98">
        <v>55.24</v>
      </c>
      <c r="H87" s="97">
        <v>35884.5</v>
      </c>
      <c r="K87" s="174">
        <v>-186.45000000000002</v>
      </c>
      <c r="L87" s="167">
        <v>-10299.498000000001</v>
      </c>
    </row>
    <row r="88" spans="1:12" x14ac:dyDescent="0.25">
      <c r="A88" s="72"/>
      <c r="B88" s="73" t="s">
        <v>48</v>
      </c>
      <c r="C88" s="77" t="s">
        <v>72</v>
      </c>
      <c r="D88" s="77" t="s">
        <v>73</v>
      </c>
      <c r="E88" s="72"/>
      <c r="F88" s="72"/>
      <c r="G88" s="75"/>
      <c r="H88" s="78">
        <v>0</v>
      </c>
      <c r="K88" s="174"/>
      <c r="L88" s="167"/>
    </row>
    <row r="89" spans="1:12" x14ac:dyDescent="0.25">
      <c r="A89" s="92" t="s">
        <v>134</v>
      </c>
      <c r="B89" s="93" t="s">
        <v>63</v>
      </c>
      <c r="C89" s="94" t="s">
        <v>102</v>
      </c>
      <c r="D89" s="95" t="s">
        <v>103</v>
      </c>
      <c r="E89" s="96" t="s">
        <v>66</v>
      </c>
      <c r="F89" s="97">
        <v>340.27</v>
      </c>
      <c r="G89" s="98">
        <v>14.18</v>
      </c>
      <c r="H89" s="97">
        <v>4825</v>
      </c>
      <c r="K89" s="174">
        <v>-186.45000000000002</v>
      </c>
      <c r="L89" s="167">
        <v>-2643.8610000000003</v>
      </c>
    </row>
    <row r="90" spans="1:12" x14ac:dyDescent="0.25">
      <c r="A90" s="92" t="s">
        <v>101</v>
      </c>
      <c r="B90" s="93" t="s">
        <v>63</v>
      </c>
      <c r="C90" s="94" t="s">
        <v>75</v>
      </c>
      <c r="D90" s="95" t="s">
        <v>76</v>
      </c>
      <c r="E90" s="96" t="s">
        <v>66</v>
      </c>
      <c r="F90" s="97">
        <v>649.61</v>
      </c>
      <c r="G90" s="98">
        <v>20.62</v>
      </c>
      <c r="H90" s="97">
        <v>13395</v>
      </c>
      <c r="K90" s="174">
        <v>-355.95</v>
      </c>
      <c r="L90" s="167">
        <v>-7339.6890000000003</v>
      </c>
    </row>
    <row r="91" spans="1:12" ht="30" x14ac:dyDescent="0.25">
      <c r="A91" s="92" t="s">
        <v>104</v>
      </c>
      <c r="B91" s="93" t="s">
        <v>63</v>
      </c>
      <c r="C91" s="94" t="s">
        <v>78</v>
      </c>
      <c r="D91" s="95" t="s">
        <v>79</v>
      </c>
      <c r="E91" s="96" t="s">
        <v>66</v>
      </c>
      <c r="F91" s="97">
        <v>649.61</v>
      </c>
      <c r="G91" s="98">
        <v>396.71</v>
      </c>
      <c r="H91" s="97">
        <v>257706.8</v>
      </c>
      <c r="K91" s="174">
        <v>-355.95</v>
      </c>
      <c r="L91" s="167">
        <v>-141208.92449999999</v>
      </c>
    </row>
    <row r="92" spans="1:12" ht="30" x14ac:dyDescent="0.25">
      <c r="A92" s="92" t="s">
        <v>105</v>
      </c>
      <c r="B92" s="93" t="s">
        <v>63</v>
      </c>
      <c r="C92" s="94" t="s">
        <v>107</v>
      </c>
      <c r="D92" s="95" t="s">
        <v>108</v>
      </c>
      <c r="E92" s="96" t="s">
        <v>66</v>
      </c>
      <c r="F92" s="97">
        <v>340.27</v>
      </c>
      <c r="G92" s="98">
        <v>559.51</v>
      </c>
      <c r="H92" s="97">
        <v>190384.5</v>
      </c>
      <c r="K92" s="174">
        <v>-186.45000000000002</v>
      </c>
      <c r="L92" s="167">
        <v>-104320.6395</v>
      </c>
    </row>
    <row r="93" spans="1:12" x14ac:dyDescent="0.25">
      <c r="A93" s="72"/>
      <c r="B93" s="73" t="s">
        <v>48</v>
      </c>
      <c r="C93" s="77" t="s">
        <v>109</v>
      </c>
      <c r="D93" s="77" t="s">
        <v>110</v>
      </c>
      <c r="E93" s="72"/>
      <c r="F93" s="72"/>
      <c r="G93" s="75"/>
      <c r="H93" s="78">
        <v>0</v>
      </c>
      <c r="K93" s="174"/>
      <c r="L93" s="167"/>
    </row>
    <row r="94" spans="1:12" ht="30" x14ac:dyDescent="0.25">
      <c r="A94" s="92" t="s">
        <v>135</v>
      </c>
      <c r="B94" s="93" t="s">
        <v>63</v>
      </c>
      <c r="C94" s="94" t="s">
        <v>112</v>
      </c>
      <c r="D94" s="95" t="s">
        <v>113</v>
      </c>
      <c r="E94" s="96" t="s">
        <v>114</v>
      </c>
      <c r="F94" s="97">
        <v>618.67999999999995</v>
      </c>
      <c r="G94" s="98">
        <v>87.65</v>
      </c>
      <c r="H94" s="97">
        <v>54227.3</v>
      </c>
      <c r="K94" s="174">
        <v>-169.5</v>
      </c>
      <c r="L94" s="167">
        <v>-14856.675000000001</v>
      </c>
    </row>
    <row r="95" spans="1:12" x14ac:dyDescent="0.25">
      <c r="A95" s="92" t="s">
        <v>136</v>
      </c>
      <c r="B95" s="93" t="s">
        <v>63</v>
      </c>
      <c r="C95" s="94" t="s">
        <v>116</v>
      </c>
      <c r="D95" s="95" t="s">
        <v>117</v>
      </c>
      <c r="E95" s="96" t="s">
        <v>114</v>
      </c>
      <c r="F95" s="97">
        <v>618.67999999999995</v>
      </c>
      <c r="G95" s="98">
        <v>72.34</v>
      </c>
      <c r="H95" s="97">
        <v>44755.3</v>
      </c>
      <c r="K95" s="174">
        <v>-169.5</v>
      </c>
      <c r="L95" s="167">
        <v>-12261.630000000001</v>
      </c>
    </row>
    <row r="96" spans="1:12" x14ac:dyDescent="0.25">
      <c r="A96" s="72"/>
      <c r="B96" s="73" t="s">
        <v>48</v>
      </c>
      <c r="C96" s="77" t="s">
        <v>80</v>
      </c>
      <c r="D96" s="77" t="s">
        <v>81</v>
      </c>
      <c r="E96" s="72"/>
      <c r="F96" s="72"/>
      <c r="G96" s="75"/>
      <c r="H96" s="78">
        <v>0</v>
      </c>
      <c r="K96" s="174"/>
      <c r="L96" s="167"/>
    </row>
    <row r="97" spans="1:12" ht="30" x14ac:dyDescent="0.25">
      <c r="A97" s="92" t="s">
        <v>137</v>
      </c>
      <c r="B97" s="93" t="s">
        <v>63</v>
      </c>
      <c r="C97" s="94" t="s">
        <v>83</v>
      </c>
      <c r="D97" s="95" t="s">
        <v>84</v>
      </c>
      <c r="E97" s="96" t="s">
        <v>85</v>
      </c>
      <c r="F97" s="97">
        <v>393.34</v>
      </c>
      <c r="G97" s="98">
        <v>164.48</v>
      </c>
      <c r="H97" s="97">
        <v>64696.6</v>
      </c>
      <c r="K97" s="174">
        <v>-23.865600000000004</v>
      </c>
      <c r="L97" s="167">
        <v>-3925.4138880000005</v>
      </c>
    </row>
    <row r="98" spans="1:12" ht="58.5" customHeight="1" x14ac:dyDescent="0.25">
      <c r="A98" s="92" t="s">
        <v>138</v>
      </c>
      <c r="B98" s="93" t="s">
        <v>63</v>
      </c>
      <c r="C98" s="94" t="s">
        <v>87</v>
      </c>
      <c r="D98" s="95" t="s">
        <v>88</v>
      </c>
      <c r="E98" s="96" t="s">
        <v>85</v>
      </c>
      <c r="F98" s="97">
        <v>170.26</v>
      </c>
      <c r="G98" s="98">
        <v>257.77999999999997</v>
      </c>
      <c r="H98" s="97">
        <v>43889.599999999999</v>
      </c>
      <c r="K98" s="166">
        <v>-23.865600000000004</v>
      </c>
      <c r="L98" s="175">
        <v>-6152.0743680000005</v>
      </c>
    </row>
    <row r="99" spans="1:12" ht="39.75" customHeight="1" x14ac:dyDescent="0.25">
      <c r="K99" s="160" t="s">
        <v>139</v>
      </c>
    </row>
    <row r="100" spans="1:12" x14ac:dyDescent="0.25">
      <c r="A100" s="19"/>
      <c r="B100" s="19"/>
      <c r="C100" s="19" t="s">
        <v>122</v>
      </c>
      <c r="D100" s="19"/>
      <c r="E100" s="19"/>
      <c r="F100" s="19"/>
      <c r="G100" s="64"/>
      <c r="H100" s="19"/>
      <c r="K100" s="432" t="s">
        <v>132</v>
      </c>
      <c r="L100" s="432"/>
    </row>
    <row r="101" spans="1:12" ht="24.75" thickBot="1" x14ac:dyDescent="0.3">
      <c r="A101" s="137" t="s">
        <v>39</v>
      </c>
      <c r="B101" s="66" t="s">
        <v>40</v>
      </c>
      <c r="C101" s="66" t="s">
        <v>41</v>
      </c>
      <c r="D101" s="66" t="s">
        <v>42</v>
      </c>
      <c r="E101" s="66" t="s">
        <v>43</v>
      </c>
      <c r="F101" s="66" t="s">
        <v>44</v>
      </c>
      <c r="G101" s="67" t="s">
        <v>45</v>
      </c>
      <c r="H101" s="68" t="s">
        <v>46</v>
      </c>
      <c r="K101" s="161" t="s">
        <v>60</v>
      </c>
      <c r="L101" s="161" t="s">
        <v>61</v>
      </c>
    </row>
    <row r="102" spans="1:12" ht="16.5" thickBot="1" x14ac:dyDescent="0.3">
      <c r="A102" s="146" t="s">
        <v>47</v>
      </c>
      <c r="B102" s="19"/>
      <c r="C102" s="19"/>
      <c r="D102" s="19"/>
      <c r="E102" s="19"/>
      <c r="F102" s="19"/>
      <c r="G102" s="64"/>
      <c r="H102" s="71"/>
      <c r="K102" s="162"/>
      <c r="L102" s="163">
        <v>-11781.23568</v>
      </c>
    </row>
    <row r="103" spans="1:12" ht="15.75" x14ac:dyDescent="0.25">
      <c r="A103" s="147"/>
      <c r="B103" s="88" t="s">
        <v>48</v>
      </c>
      <c r="C103" s="74" t="s">
        <v>49</v>
      </c>
      <c r="D103" s="74" t="s">
        <v>50</v>
      </c>
      <c r="E103" s="72"/>
      <c r="F103" s="72"/>
      <c r="G103" s="75"/>
      <c r="H103" s="76"/>
      <c r="K103" s="433"/>
      <c r="L103" s="434"/>
    </row>
    <row r="104" spans="1:12" x14ac:dyDescent="0.25">
      <c r="A104" s="147"/>
      <c r="B104" s="88" t="s">
        <v>48</v>
      </c>
      <c r="C104" s="77" t="s">
        <v>51</v>
      </c>
      <c r="D104" s="77" t="s">
        <v>52</v>
      </c>
      <c r="E104" s="72"/>
      <c r="F104" s="72"/>
      <c r="G104" s="75"/>
      <c r="H104" s="78"/>
      <c r="K104" s="164"/>
      <c r="L104" s="165"/>
    </row>
    <row r="105" spans="1:12" ht="30" x14ac:dyDescent="0.25">
      <c r="A105" s="93" t="s">
        <v>123</v>
      </c>
      <c r="B105" s="148" t="s">
        <v>63</v>
      </c>
      <c r="C105" s="149" t="s">
        <v>64</v>
      </c>
      <c r="D105" s="150" t="s">
        <v>65</v>
      </c>
      <c r="E105" s="151" t="s">
        <v>66</v>
      </c>
      <c r="F105" s="152">
        <v>1499.4</v>
      </c>
      <c r="G105" s="153">
        <v>55.24</v>
      </c>
      <c r="H105" s="152">
        <v>82826.899999999994</v>
      </c>
      <c r="K105" s="176">
        <v>-6.6000000000000005</v>
      </c>
      <c r="L105" s="177">
        <v>-364.58400000000006</v>
      </c>
    </row>
    <row r="106" spans="1:12" x14ac:dyDescent="0.25">
      <c r="A106" s="147"/>
      <c r="B106" s="88" t="s">
        <v>48</v>
      </c>
      <c r="C106" s="77" t="s">
        <v>72</v>
      </c>
      <c r="D106" s="77" t="s">
        <v>73</v>
      </c>
      <c r="E106" s="72"/>
      <c r="F106" s="72"/>
      <c r="G106" s="75"/>
      <c r="H106" s="78"/>
      <c r="K106" s="166"/>
      <c r="L106" s="175"/>
    </row>
    <row r="107" spans="1:12" x14ac:dyDescent="0.25">
      <c r="A107" s="93" t="s">
        <v>104</v>
      </c>
      <c r="B107" s="154" t="s">
        <v>63</v>
      </c>
      <c r="C107" s="155" t="s">
        <v>102</v>
      </c>
      <c r="D107" s="156" t="s">
        <v>103</v>
      </c>
      <c r="E107" s="157" t="s">
        <v>66</v>
      </c>
      <c r="F107" s="158">
        <v>785.4</v>
      </c>
      <c r="G107" s="159">
        <v>14.18</v>
      </c>
      <c r="H107" s="158">
        <v>11137</v>
      </c>
      <c r="K107" s="166">
        <v>-6.6000000000000005</v>
      </c>
      <c r="L107" s="167">
        <v>-93.588000000000008</v>
      </c>
    </row>
    <row r="108" spans="1:12" x14ac:dyDescent="0.25">
      <c r="A108" s="93" t="s">
        <v>105</v>
      </c>
      <c r="B108" s="148" t="s">
        <v>63</v>
      </c>
      <c r="C108" s="149" t="s">
        <v>75</v>
      </c>
      <c r="D108" s="150" t="s">
        <v>76</v>
      </c>
      <c r="E108" s="151" t="s">
        <v>66</v>
      </c>
      <c r="F108" s="152">
        <v>1499.4</v>
      </c>
      <c r="G108" s="153">
        <v>20.62</v>
      </c>
      <c r="H108" s="152">
        <v>30917.599999999999</v>
      </c>
      <c r="K108" s="174">
        <v>-12.600000000000001</v>
      </c>
      <c r="L108" s="167">
        <v>-259.81200000000007</v>
      </c>
    </row>
    <row r="109" spans="1:12" ht="30" x14ac:dyDescent="0.25">
      <c r="A109" s="93" t="s">
        <v>106</v>
      </c>
      <c r="B109" s="148" t="s">
        <v>63</v>
      </c>
      <c r="C109" s="149" t="s">
        <v>78</v>
      </c>
      <c r="D109" s="150" t="s">
        <v>79</v>
      </c>
      <c r="E109" s="151" t="s">
        <v>66</v>
      </c>
      <c r="F109" s="152">
        <v>1499.4</v>
      </c>
      <c r="G109" s="153">
        <v>396.71</v>
      </c>
      <c r="H109" s="152">
        <v>594827</v>
      </c>
      <c r="K109" s="166">
        <v>-12.600000000000001</v>
      </c>
      <c r="L109" s="167">
        <v>-4998.5460000000003</v>
      </c>
    </row>
    <row r="110" spans="1:12" ht="30" x14ac:dyDescent="0.25">
      <c r="A110" s="93" t="s">
        <v>124</v>
      </c>
      <c r="B110" s="154" t="s">
        <v>63</v>
      </c>
      <c r="C110" s="155" t="s">
        <v>107</v>
      </c>
      <c r="D110" s="156" t="s">
        <v>108</v>
      </c>
      <c r="E110" s="157" t="s">
        <v>66</v>
      </c>
      <c r="F110" s="158">
        <v>785.4</v>
      </c>
      <c r="G110" s="159">
        <v>559.51</v>
      </c>
      <c r="H110" s="158">
        <v>439439.2</v>
      </c>
      <c r="K110" s="174">
        <v>-6.6000000000000005</v>
      </c>
      <c r="L110" s="167">
        <v>-3692.7660000000001</v>
      </c>
    </row>
    <row r="111" spans="1:12" x14ac:dyDescent="0.25">
      <c r="A111" s="147"/>
      <c r="B111" s="88" t="s">
        <v>48</v>
      </c>
      <c r="C111" s="77" t="s">
        <v>109</v>
      </c>
      <c r="D111" s="77" t="s">
        <v>110</v>
      </c>
      <c r="E111" s="72"/>
      <c r="F111" s="72"/>
      <c r="G111" s="75"/>
      <c r="H111" s="78"/>
      <c r="K111" s="174"/>
      <c r="L111" s="167"/>
    </row>
    <row r="112" spans="1:12" ht="30" x14ac:dyDescent="0.25">
      <c r="A112" s="93" t="s">
        <v>125</v>
      </c>
      <c r="B112" s="154" t="s">
        <v>63</v>
      </c>
      <c r="C112" s="155" t="s">
        <v>112</v>
      </c>
      <c r="D112" s="156" t="s">
        <v>113</v>
      </c>
      <c r="E112" s="157" t="s">
        <v>114</v>
      </c>
      <c r="F112" s="158">
        <v>1428</v>
      </c>
      <c r="G112" s="159">
        <v>87.65</v>
      </c>
      <c r="H112" s="158">
        <v>125164.2</v>
      </c>
      <c r="K112" s="174">
        <v>-13.2</v>
      </c>
      <c r="L112" s="167">
        <v>-1156.98</v>
      </c>
    </row>
    <row r="113" spans="1:27" x14ac:dyDescent="0.25">
      <c r="A113" s="93" t="s">
        <v>126</v>
      </c>
      <c r="B113" s="154" t="s">
        <v>63</v>
      </c>
      <c r="C113" s="155" t="s">
        <v>116</v>
      </c>
      <c r="D113" s="156" t="s">
        <v>117</v>
      </c>
      <c r="E113" s="157" t="s">
        <v>114</v>
      </c>
      <c r="F113" s="158">
        <v>1428</v>
      </c>
      <c r="G113" s="159">
        <v>72.34</v>
      </c>
      <c r="H113" s="158">
        <v>103301.5</v>
      </c>
      <c r="K113" s="174">
        <v>-13.2</v>
      </c>
      <c r="L113" s="167">
        <v>-954.88800000000003</v>
      </c>
    </row>
    <row r="114" spans="1:27" x14ac:dyDescent="0.25">
      <c r="A114" s="147"/>
      <c r="B114" s="88" t="s">
        <v>48</v>
      </c>
      <c r="C114" s="77" t="s">
        <v>80</v>
      </c>
      <c r="D114" s="77" t="s">
        <v>81</v>
      </c>
      <c r="E114" s="72"/>
      <c r="F114" s="72"/>
      <c r="G114" s="75"/>
      <c r="H114" s="78"/>
      <c r="K114" s="174"/>
      <c r="L114" s="167"/>
    </row>
    <row r="115" spans="1:27" ht="30" x14ac:dyDescent="0.25">
      <c r="A115" s="93" t="s">
        <v>127</v>
      </c>
      <c r="B115" s="148" t="s">
        <v>63</v>
      </c>
      <c r="C115" s="149" t="s">
        <v>83</v>
      </c>
      <c r="D115" s="150" t="s">
        <v>84</v>
      </c>
      <c r="E115" s="151" t="s">
        <v>85</v>
      </c>
      <c r="F115" s="152">
        <v>1048.51</v>
      </c>
      <c r="G115" s="153">
        <v>153.18</v>
      </c>
      <c r="H115" s="152">
        <v>160610.79999999999</v>
      </c>
      <c r="K115" s="166">
        <v>-0.84480000000000011</v>
      </c>
      <c r="L115" s="167">
        <v>-129.40646400000003</v>
      </c>
    </row>
    <row r="116" spans="1:27" ht="30" x14ac:dyDescent="0.25">
      <c r="A116" s="93" t="s">
        <v>128</v>
      </c>
      <c r="B116" s="148" t="s">
        <v>63</v>
      </c>
      <c r="C116" s="149" t="s">
        <v>129</v>
      </c>
      <c r="D116" s="150" t="s">
        <v>130</v>
      </c>
      <c r="E116" s="151" t="s">
        <v>85</v>
      </c>
      <c r="F116" s="152">
        <v>6.19</v>
      </c>
      <c r="G116" s="153">
        <v>154.66999999999999</v>
      </c>
      <c r="H116" s="152">
        <v>957.4</v>
      </c>
      <c r="K116" s="166">
        <v>-0.84480000000000011</v>
      </c>
      <c r="L116" s="167">
        <v>-130.66521600000002</v>
      </c>
    </row>
    <row r="120" spans="1:27" x14ac:dyDescent="0.25">
      <c r="B120" s="42"/>
      <c r="C120" s="42"/>
      <c r="D120" s="42"/>
      <c r="E120" s="42"/>
      <c r="F120" s="304"/>
      <c r="G120" s="357"/>
      <c r="H120" s="306"/>
      <c r="I120" s="307"/>
      <c r="J120" s="308"/>
      <c r="K120" s="300"/>
      <c r="L120" s="301"/>
    </row>
    <row r="121" spans="1:27" ht="15.75" thickBot="1" x14ac:dyDescent="0.3">
      <c r="B121" s="42"/>
      <c r="C121" s="42"/>
      <c r="D121" s="42"/>
      <c r="E121" s="42"/>
      <c r="F121" s="304"/>
      <c r="G121" s="357"/>
      <c r="H121" s="306"/>
      <c r="I121" s="307"/>
      <c r="J121" s="308"/>
      <c r="K121" s="300"/>
      <c r="L121" s="301"/>
    </row>
    <row r="122" spans="1:27" ht="16.5" thickBot="1" x14ac:dyDescent="0.3">
      <c r="B122" s="358"/>
      <c r="C122" s="359"/>
      <c r="D122" s="360" t="s">
        <v>528</v>
      </c>
      <c r="E122" s="361"/>
      <c r="F122" s="362"/>
      <c r="G122" s="363"/>
      <c r="H122" s="364"/>
      <c r="I122" s="365"/>
      <c r="J122" s="365"/>
      <c r="K122" s="366">
        <v>962846.79</v>
      </c>
      <c r="L122" s="365"/>
      <c r="M122" s="424"/>
      <c r="N122" s="424"/>
      <c r="O122" s="424"/>
      <c r="P122" s="424"/>
      <c r="Q122" s="424"/>
      <c r="R122" s="424"/>
      <c r="S122" s="424"/>
      <c r="T122" s="424"/>
      <c r="U122" s="424"/>
      <c r="V122" s="424"/>
      <c r="W122" s="424"/>
      <c r="X122" s="424"/>
      <c r="Y122" s="424"/>
      <c r="Z122" s="424"/>
      <c r="AA122" s="425"/>
    </row>
    <row r="123" spans="1:27" ht="15.75" x14ac:dyDescent="0.25">
      <c r="B123" s="369"/>
      <c r="C123" s="370"/>
      <c r="D123" s="371"/>
      <c r="E123" s="372"/>
      <c r="F123" s="373"/>
      <c r="G123" s="374"/>
      <c r="H123" s="375"/>
      <c r="I123" s="376"/>
      <c r="J123" s="377"/>
      <c r="K123" s="378"/>
      <c r="L123" s="379"/>
    </row>
    <row r="124" spans="1:27" ht="15.75" x14ac:dyDescent="0.25">
      <c r="B124" s="381"/>
      <c r="C124" s="31" t="s">
        <v>18</v>
      </c>
      <c r="D124" s="35" t="s">
        <v>529</v>
      </c>
      <c r="E124" s="381"/>
      <c r="F124" s="382"/>
      <c r="G124" s="381"/>
      <c r="H124" s="35" t="s">
        <v>20</v>
      </c>
      <c r="I124" s="376"/>
      <c r="J124" s="383"/>
      <c r="K124" s="378"/>
      <c r="L124" s="36" t="s">
        <v>22</v>
      </c>
    </row>
    <row r="125" spans="1:27" ht="15.75" x14ac:dyDescent="0.25">
      <c r="B125" s="381"/>
      <c r="C125" s="31"/>
      <c r="D125" s="35"/>
      <c r="E125" s="381"/>
      <c r="F125" s="382"/>
      <c r="G125" s="381"/>
      <c r="H125" s="384"/>
      <c r="I125" s="376"/>
      <c r="J125" s="383"/>
      <c r="K125" s="378"/>
      <c r="L125" s="36"/>
    </row>
    <row r="126" spans="1:27" ht="15.75" x14ac:dyDescent="0.25">
      <c r="B126" s="381"/>
      <c r="C126" s="31" t="s">
        <v>19</v>
      </c>
      <c r="D126" s="31" t="s">
        <v>530</v>
      </c>
      <c r="E126" s="381"/>
      <c r="F126" s="382"/>
      <c r="G126" s="381"/>
      <c r="H126" s="31" t="s">
        <v>19</v>
      </c>
      <c r="I126" s="376"/>
      <c r="J126" s="383"/>
      <c r="K126" s="378"/>
      <c r="L126" s="31" t="s">
        <v>19</v>
      </c>
    </row>
    <row r="127" spans="1:27" x14ac:dyDescent="0.25">
      <c r="B127" s="42"/>
      <c r="C127" s="42"/>
      <c r="D127" s="42"/>
      <c r="E127" s="42"/>
      <c r="F127" s="304"/>
      <c r="G127" s="357"/>
      <c r="H127" s="306"/>
      <c r="I127" s="307"/>
      <c r="J127" s="308"/>
      <c r="K127" s="300"/>
      <c r="L127" s="301"/>
    </row>
  </sheetData>
  <mergeCells count="22">
    <mergeCell ref="AC11:AD11"/>
    <mergeCell ref="K14:L14"/>
    <mergeCell ref="N14:O14"/>
    <mergeCell ref="Q14:R14"/>
    <mergeCell ref="T14:U14"/>
    <mergeCell ref="W14:X14"/>
    <mergeCell ref="Z14:AA14"/>
    <mergeCell ref="AC14:AD14"/>
    <mergeCell ref="K11:L11"/>
    <mergeCell ref="N11:O11"/>
    <mergeCell ref="Q11:R11"/>
    <mergeCell ref="T11:U11"/>
    <mergeCell ref="W11:X11"/>
    <mergeCell ref="Z11:AA11"/>
    <mergeCell ref="K82:L82"/>
    <mergeCell ref="K85:L85"/>
    <mergeCell ref="K100:L100"/>
    <mergeCell ref="K103:L103"/>
    <mergeCell ref="K44:L44"/>
    <mergeCell ref="K47:L47"/>
    <mergeCell ref="K63:L63"/>
    <mergeCell ref="K66:L66"/>
  </mergeCells>
  <conditionalFormatting sqref="AB1:AH1 A1:Z1">
    <cfRule type="cellIs" dxfId="25" priority="3" stopIfTrue="1" operator="lessThan">
      <formula>0</formula>
    </cfRule>
  </conditionalFormatting>
  <conditionalFormatting sqref="E3">
    <cfRule type="cellIs" dxfId="24" priority="1" stopIfTrue="1" operator="lessThan">
      <formula>0</formula>
    </cfRule>
  </conditionalFormatting>
  <pageMargins left="0.7" right="0.7" top="0.78740157499999996" bottom="0.78740157499999996" header="0.3" footer="0.3"/>
  <pageSetup paperSize="9" scale="42" fitToHeight="0" orientation="landscape" r:id="rId1"/>
  <rowBreaks count="2" manualBreakCount="2">
    <brk id="61" max="29" man="1"/>
    <brk id="113" max="29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DDD25-4753-41B2-8509-2A82086D3850}">
  <sheetPr>
    <pageSetUpPr fitToPage="1"/>
  </sheetPr>
  <dimension ref="A1:AF154"/>
  <sheetViews>
    <sheetView view="pageBreakPreview" topLeftCell="A70" zoomScale="60" zoomScaleNormal="100" workbookViewId="0">
      <selection activeCell="K148" sqref="K148"/>
    </sheetView>
  </sheetViews>
  <sheetFormatPr defaultRowHeight="15" x14ac:dyDescent="0.25"/>
  <cols>
    <col min="4" max="4" width="59.42578125" customWidth="1"/>
    <col min="6" max="7" width="9.7109375" bestFit="1" customWidth="1"/>
    <col min="8" max="8" width="19.85546875" customWidth="1"/>
    <col min="9" max="9" width="2.7109375" customWidth="1"/>
    <col min="10" max="10" width="0.85546875" customWidth="1"/>
    <col min="11" max="11" width="20.5703125" bestFit="1" customWidth="1"/>
    <col min="12" max="12" width="15.140625" bestFit="1" customWidth="1"/>
    <col min="13" max="13" width="12.7109375" bestFit="1" customWidth="1"/>
    <col min="16" max="16" width="11.28515625" bestFit="1" customWidth="1"/>
  </cols>
  <sheetData>
    <row r="1" spans="1:32" s="42" customFormat="1" ht="12.75" x14ac:dyDescent="0.2">
      <c r="A1" s="38"/>
      <c r="B1" s="128"/>
      <c r="C1" s="38"/>
      <c r="D1" s="38"/>
      <c r="E1" s="39"/>
      <c r="F1" s="38"/>
      <c r="G1" s="40"/>
      <c r="H1" s="38"/>
      <c r="I1" s="38"/>
      <c r="J1" s="38"/>
      <c r="K1" s="38"/>
      <c r="L1" s="38"/>
      <c r="M1" s="41"/>
      <c r="N1" s="41"/>
      <c r="O1" s="41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</row>
    <row r="2" spans="1:32" s="42" customFormat="1" ht="15.75" x14ac:dyDescent="0.25">
      <c r="A2" s="4"/>
      <c r="B2" s="129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5"/>
      <c r="M2" s="47"/>
      <c r="N2" s="48"/>
      <c r="O2" s="47"/>
      <c r="P2" s="45"/>
      <c r="Q2" s="46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9"/>
      <c r="AD2" s="50"/>
      <c r="AE2" s="51"/>
      <c r="AF2" s="52"/>
    </row>
    <row r="3" spans="1:32" s="42" customFormat="1" ht="15.75" x14ac:dyDescent="0.25">
      <c r="A3" s="4"/>
      <c r="B3" s="129"/>
      <c r="D3" s="2" t="s">
        <v>2</v>
      </c>
      <c r="E3" s="3" t="s">
        <v>547</v>
      </c>
      <c r="F3" s="5"/>
      <c r="G3" s="44"/>
      <c r="H3" s="45"/>
      <c r="I3" s="45"/>
      <c r="J3" s="45"/>
      <c r="K3" s="46"/>
      <c r="L3" s="45"/>
      <c r="M3" s="47"/>
      <c r="N3" s="48"/>
      <c r="O3" s="47"/>
      <c r="P3" s="45"/>
      <c r="Q3" s="46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9"/>
      <c r="AD3" s="50"/>
      <c r="AE3" s="51"/>
      <c r="AF3" s="52"/>
    </row>
    <row r="4" spans="1:32" s="42" customFormat="1" ht="15.75" x14ac:dyDescent="0.25">
      <c r="A4" s="4"/>
      <c r="B4" s="129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5"/>
      <c r="M4" s="47"/>
      <c r="N4" s="48"/>
      <c r="O4" s="47"/>
      <c r="P4" s="45"/>
      <c r="Q4" s="46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9"/>
      <c r="AD4" s="50"/>
      <c r="AE4" s="51"/>
      <c r="AF4" s="52"/>
    </row>
    <row r="5" spans="1:32" s="42" customFormat="1" ht="15.75" x14ac:dyDescent="0.25">
      <c r="A5" s="43"/>
      <c r="B5" s="129"/>
      <c r="D5" s="7" t="s">
        <v>5</v>
      </c>
      <c r="E5" s="9" t="s">
        <v>6</v>
      </c>
      <c r="F5" s="53"/>
      <c r="G5" s="44"/>
      <c r="H5" s="54"/>
      <c r="I5" s="54"/>
      <c r="J5" s="54"/>
      <c r="K5" s="55"/>
      <c r="L5" s="54"/>
      <c r="M5" s="56"/>
      <c r="N5" s="57"/>
      <c r="O5" s="56"/>
      <c r="P5" s="54"/>
      <c r="Q5" s="55"/>
      <c r="R5" s="54"/>
      <c r="S5" s="55"/>
      <c r="T5" s="54"/>
      <c r="U5" s="55"/>
      <c r="V5" s="54"/>
      <c r="W5" s="55"/>
      <c r="X5" s="54"/>
      <c r="Y5" s="55"/>
      <c r="Z5" s="54"/>
      <c r="AA5" s="55"/>
      <c r="AB5" s="54"/>
      <c r="AC5" s="58"/>
      <c r="AD5" s="59"/>
      <c r="AE5" s="60"/>
      <c r="AF5" s="61"/>
    </row>
    <row r="6" spans="1:32" s="42" customFormat="1" ht="15.75" x14ac:dyDescent="0.25">
      <c r="A6" s="43"/>
      <c r="B6" s="129"/>
      <c r="D6" s="2" t="s">
        <v>7</v>
      </c>
      <c r="E6" s="12" t="s">
        <v>8</v>
      </c>
      <c r="F6" s="53"/>
      <c r="G6" s="44"/>
      <c r="H6" s="54"/>
      <c r="I6" s="54"/>
      <c r="J6" s="54"/>
      <c r="K6" s="55"/>
      <c r="L6" s="54"/>
      <c r="M6" s="56"/>
      <c r="N6" s="57"/>
      <c r="O6" s="56"/>
      <c r="P6" s="54"/>
      <c r="Q6" s="55"/>
      <c r="R6" s="54"/>
      <c r="S6" s="55"/>
      <c r="T6" s="54"/>
      <c r="U6" s="55"/>
      <c r="V6" s="54"/>
      <c r="W6" s="55"/>
      <c r="X6" s="54"/>
      <c r="Y6" s="55"/>
      <c r="Z6" s="54"/>
      <c r="AA6" s="55"/>
      <c r="AB6" s="54"/>
      <c r="AC6" s="58"/>
      <c r="AD6" s="59"/>
      <c r="AE6" s="60"/>
      <c r="AF6" s="61"/>
    </row>
    <row r="7" spans="1:32" s="42" customFormat="1" ht="15.75" x14ac:dyDescent="0.25">
      <c r="A7" s="43"/>
      <c r="B7" s="129"/>
      <c r="D7" s="2" t="s">
        <v>9</v>
      </c>
      <c r="E7" s="12" t="s">
        <v>10</v>
      </c>
      <c r="F7" s="53"/>
      <c r="G7" s="44"/>
      <c r="H7" s="54"/>
      <c r="I7" s="54"/>
      <c r="J7" s="54"/>
      <c r="K7" s="55"/>
      <c r="L7" s="54"/>
      <c r="M7" s="56"/>
      <c r="N7" s="57"/>
      <c r="O7" s="56"/>
      <c r="P7" s="54"/>
      <c r="Q7" s="55"/>
      <c r="R7" s="54"/>
      <c r="S7" s="55"/>
      <c r="T7" s="54"/>
      <c r="U7" s="55"/>
      <c r="V7" s="54"/>
      <c r="W7" s="55"/>
      <c r="X7" s="54"/>
      <c r="Y7" s="55"/>
      <c r="Z7" s="54"/>
      <c r="AA7" s="55"/>
      <c r="AB7" s="54"/>
      <c r="AC7" s="58"/>
      <c r="AD7" s="59"/>
      <c r="AE7" s="60"/>
      <c r="AF7" s="61"/>
    </row>
    <row r="9" spans="1:32" ht="18" x14ac:dyDescent="0.25">
      <c r="B9" s="282" t="s">
        <v>353</v>
      </c>
    </row>
    <row r="10" spans="1:32" ht="15.75" thickBot="1" x14ac:dyDescent="0.3">
      <c r="G10" s="121"/>
    </row>
    <row r="11" spans="1:32" ht="20.25" x14ac:dyDescent="0.25">
      <c r="A11" s="19"/>
      <c r="B11" s="19"/>
      <c r="C11" s="63" t="s">
        <v>140</v>
      </c>
      <c r="D11" s="19"/>
      <c r="E11" s="19"/>
      <c r="F11" s="19"/>
      <c r="G11" s="64"/>
      <c r="H11" s="19"/>
      <c r="I11" s="79"/>
      <c r="J11" s="19"/>
      <c r="K11" s="19"/>
      <c r="L11" s="441" t="s">
        <v>170</v>
      </c>
      <c r="M11" s="442"/>
    </row>
    <row r="12" spans="1:32" ht="24" x14ac:dyDescent="0.25">
      <c r="A12" s="137" t="s">
        <v>39</v>
      </c>
      <c r="B12" s="66" t="s">
        <v>40</v>
      </c>
      <c r="C12" s="66" t="s">
        <v>41</v>
      </c>
      <c r="D12" s="66" t="s">
        <v>42</v>
      </c>
      <c r="E12" s="66" t="s">
        <v>43</v>
      </c>
      <c r="F12" s="66" t="s">
        <v>44</v>
      </c>
      <c r="G12" s="67" t="s">
        <v>45</v>
      </c>
      <c r="H12" s="68" t="s">
        <v>46</v>
      </c>
      <c r="I12" s="80"/>
      <c r="J12" s="195"/>
      <c r="K12" s="81"/>
      <c r="L12" s="82" t="s">
        <v>60</v>
      </c>
      <c r="M12" s="83" t="s">
        <v>61</v>
      </c>
    </row>
    <row r="13" spans="1:32" ht="15.75" x14ac:dyDescent="0.25">
      <c r="A13" s="72"/>
      <c r="B13" s="178" t="s">
        <v>48</v>
      </c>
      <c r="C13" s="74" t="s">
        <v>49</v>
      </c>
      <c r="D13" s="74" t="s">
        <v>50</v>
      </c>
      <c r="E13" s="72"/>
      <c r="F13" s="72"/>
      <c r="G13" s="75"/>
      <c r="H13" s="76">
        <v>0</v>
      </c>
      <c r="I13" s="87"/>
      <c r="J13" s="72"/>
      <c r="K13" s="72"/>
      <c r="L13" s="117"/>
      <c r="M13" s="189">
        <v>1138320.7970099999</v>
      </c>
    </row>
    <row r="14" spans="1:32" x14ac:dyDescent="0.25">
      <c r="A14" s="72"/>
      <c r="B14" s="178" t="s">
        <v>48</v>
      </c>
      <c r="C14" s="77" t="s">
        <v>51</v>
      </c>
      <c r="D14" s="77" t="s">
        <v>52</v>
      </c>
      <c r="E14" s="72"/>
      <c r="F14" s="72"/>
      <c r="G14" s="75"/>
      <c r="H14" s="78">
        <v>0</v>
      </c>
      <c r="I14" s="87"/>
      <c r="J14" s="72"/>
      <c r="K14" s="72"/>
      <c r="L14" s="90"/>
      <c r="M14" s="115"/>
    </row>
    <row r="15" spans="1:32" ht="30" x14ac:dyDescent="0.25">
      <c r="A15" s="92" t="s">
        <v>72</v>
      </c>
      <c r="B15" s="179" t="s">
        <v>63</v>
      </c>
      <c r="C15" s="94" t="s">
        <v>141</v>
      </c>
      <c r="D15" s="95" t="s">
        <v>142</v>
      </c>
      <c r="E15" s="96" t="s">
        <v>66</v>
      </c>
      <c r="F15" s="97">
        <v>142.11000000000001</v>
      </c>
      <c r="G15" s="98">
        <v>31.57</v>
      </c>
      <c r="H15" s="97">
        <v>4486.3999999999996</v>
      </c>
      <c r="I15" s="79"/>
      <c r="J15" s="196"/>
      <c r="K15" s="19"/>
      <c r="L15" s="109">
        <v>777.43000000000006</v>
      </c>
      <c r="M15" s="110">
        <v>24543.465100000001</v>
      </c>
    </row>
    <row r="16" spans="1:32" ht="30" x14ac:dyDescent="0.25">
      <c r="A16" s="92" t="s">
        <v>143</v>
      </c>
      <c r="B16" s="179" t="s">
        <v>63</v>
      </c>
      <c r="C16" s="94" t="s">
        <v>144</v>
      </c>
      <c r="D16" s="95" t="s">
        <v>145</v>
      </c>
      <c r="E16" s="96" t="s">
        <v>66</v>
      </c>
      <c r="F16" s="97">
        <v>142.11000000000001</v>
      </c>
      <c r="G16" s="98">
        <v>26.3</v>
      </c>
      <c r="H16" s="97">
        <v>3737.5</v>
      </c>
      <c r="I16" s="79"/>
      <c r="J16" s="196"/>
      <c r="K16" s="19"/>
      <c r="L16" s="114">
        <v>601.28</v>
      </c>
      <c r="M16" s="110">
        <v>15813.663999999999</v>
      </c>
    </row>
    <row r="17" spans="1:13" ht="30" x14ac:dyDescent="0.25">
      <c r="A17" s="92" t="s">
        <v>146</v>
      </c>
      <c r="B17" s="179" t="s">
        <v>63</v>
      </c>
      <c r="C17" s="94" t="s">
        <v>147</v>
      </c>
      <c r="D17" s="95" t="s">
        <v>148</v>
      </c>
      <c r="E17" s="96" t="s">
        <v>96</v>
      </c>
      <c r="F17" s="97">
        <v>6927.08</v>
      </c>
      <c r="G17" s="98">
        <v>98.63</v>
      </c>
      <c r="H17" s="97">
        <v>683217.9</v>
      </c>
      <c r="I17" s="79"/>
      <c r="J17" s="196"/>
      <c r="K17" s="19"/>
      <c r="L17" s="109"/>
      <c r="M17" s="110"/>
    </row>
    <row r="18" spans="1:13" x14ac:dyDescent="0.25">
      <c r="A18" s="72"/>
      <c r="B18" s="178" t="s">
        <v>48</v>
      </c>
      <c r="C18" s="77" t="s">
        <v>72</v>
      </c>
      <c r="D18" s="77" t="s">
        <v>73</v>
      </c>
      <c r="E18" s="72"/>
      <c r="F18" s="72"/>
      <c r="G18" s="75"/>
      <c r="H18" s="78">
        <v>0</v>
      </c>
      <c r="I18" s="87"/>
      <c r="J18" s="72"/>
      <c r="K18" s="72"/>
      <c r="L18" s="117"/>
      <c r="M18" s="118"/>
    </row>
    <row r="19" spans="1:13" ht="30" x14ac:dyDescent="0.25">
      <c r="A19" s="92" t="s">
        <v>149</v>
      </c>
      <c r="B19" s="179" t="s">
        <v>63</v>
      </c>
      <c r="C19" s="94" t="s">
        <v>150</v>
      </c>
      <c r="D19" s="95" t="s">
        <v>151</v>
      </c>
      <c r="E19" s="96" t="s">
        <v>66</v>
      </c>
      <c r="F19" s="97">
        <v>142.11000000000001</v>
      </c>
      <c r="G19" s="98">
        <v>155.66999999999999</v>
      </c>
      <c r="H19" s="97">
        <v>22122.3</v>
      </c>
      <c r="I19" s="79"/>
      <c r="J19" s="196"/>
      <c r="K19" s="19"/>
      <c r="L19" s="114">
        <v>601.28</v>
      </c>
      <c r="M19" s="110">
        <v>93601.257599999983</v>
      </c>
    </row>
    <row r="20" spans="1:13" x14ac:dyDescent="0.25">
      <c r="A20" s="99"/>
      <c r="B20" s="180" t="s">
        <v>67</v>
      </c>
      <c r="C20" s="100" t="s">
        <v>68</v>
      </c>
      <c r="D20" s="101" t="s">
        <v>152</v>
      </c>
      <c r="E20" s="99"/>
      <c r="F20" s="102">
        <v>142.11000000000001</v>
      </c>
      <c r="G20" s="103"/>
      <c r="H20" s="99"/>
      <c r="I20" s="111"/>
      <c r="J20" s="99"/>
      <c r="K20" s="99"/>
      <c r="L20" s="112"/>
      <c r="M20" s="113"/>
    </row>
    <row r="21" spans="1:13" ht="30" x14ac:dyDescent="0.25">
      <c r="A21" s="92" t="s">
        <v>153</v>
      </c>
      <c r="B21" s="179" t="s">
        <v>63</v>
      </c>
      <c r="C21" s="94" t="s">
        <v>154</v>
      </c>
      <c r="D21" s="95" t="s">
        <v>155</v>
      </c>
      <c r="E21" s="96" t="s">
        <v>66</v>
      </c>
      <c r="F21" s="97">
        <v>142.11000000000001</v>
      </c>
      <c r="G21" s="98">
        <v>745.05</v>
      </c>
      <c r="H21" s="97">
        <v>105879.1</v>
      </c>
      <c r="I21" s="79"/>
      <c r="J21" s="196"/>
      <c r="K21" s="19"/>
      <c r="L21" s="109">
        <v>777.43000000000006</v>
      </c>
      <c r="M21" s="110">
        <v>579224.22149999999</v>
      </c>
    </row>
    <row r="22" spans="1:13" x14ac:dyDescent="0.25">
      <c r="A22" s="181" t="s">
        <v>156</v>
      </c>
      <c r="B22" s="182" t="s">
        <v>157</v>
      </c>
      <c r="C22" s="183" t="s">
        <v>158</v>
      </c>
      <c r="D22" s="184" t="s">
        <v>159</v>
      </c>
      <c r="E22" s="185" t="s">
        <v>85</v>
      </c>
      <c r="F22" s="186">
        <v>28.42</v>
      </c>
      <c r="G22" s="187">
        <v>3763.5</v>
      </c>
      <c r="H22" s="186">
        <v>106958.7</v>
      </c>
      <c r="I22" s="193"/>
      <c r="J22" s="197"/>
      <c r="K22" s="19"/>
      <c r="L22" s="109">
        <v>76.578000000000003</v>
      </c>
      <c r="M22" s="110">
        <v>288201.30300000001</v>
      </c>
    </row>
    <row r="23" spans="1:13" x14ac:dyDescent="0.25">
      <c r="A23" s="99"/>
      <c r="B23" s="180" t="s">
        <v>67</v>
      </c>
      <c r="C23" s="100" t="s">
        <v>68</v>
      </c>
      <c r="D23" s="101" t="s">
        <v>152</v>
      </c>
      <c r="E23" s="99"/>
      <c r="F23" s="102">
        <v>142.11000000000001</v>
      </c>
      <c r="G23" s="103"/>
      <c r="H23" s="99"/>
      <c r="I23" s="111"/>
      <c r="J23" s="99"/>
      <c r="K23" s="99"/>
      <c r="L23" s="144">
        <v>105</v>
      </c>
      <c r="M23" s="113"/>
    </row>
    <row r="24" spans="1:13" x14ac:dyDescent="0.25">
      <c r="A24" s="99"/>
      <c r="B24" s="180" t="s">
        <v>67</v>
      </c>
      <c r="C24" s="99"/>
      <c r="D24" s="101" t="s">
        <v>160</v>
      </c>
      <c r="E24" s="99"/>
      <c r="F24" s="102">
        <v>28.42</v>
      </c>
      <c r="G24" s="103"/>
      <c r="H24" s="99"/>
      <c r="I24" s="111"/>
      <c r="J24" s="99"/>
      <c r="K24" s="99"/>
      <c r="L24" s="144">
        <v>-28.422000000000004</v>
      </c>
      <c r="M24" s="113"/>
    </row>
    <row r="25" spans="1:13" x14ac:dyDescent="0.25">
      <c r="A25" s="72"/>
      <c r="B25" s="178" t="s">
        <v>48</v>
      </c>
      <c r="C25" s="77" t="s">
        <v>109</v>
      </c>
      <c r="D25" s="77" t="s">
        <v>110</v>
      </c>
      <c r="E25" s="72"/>
      <c r="F25" s="72"/>
      <c r="G25" s="75"/>
      <c r="H25" s="78">
        <v>0</v>
      </c>
      <c r="I25" s="87"/>
      <c r="J25" s="72"/>
      <c r="K25" s="72"/>
      <c r="L25" s="117"/>
      <c r="M25" s="118"/>
    </row>
    <row r="26" spans="1:13" ht="60" x14ac:dyDescent="0.25">
      <c r="A26" s="92" t="s">
        <v>161</v>
      </c>
      <c r="B26" s="179" t="s">
        <v>63</v>
      </c>
      <c r="C26" s="94" t="s">
        <v>162</v>
      </c>
      <c r="D26" s="95" t="s">
        <v>163</v>
      </c>
      <c r="E26" s="96" t="s">
        <v>66</v>
      </c>
      <c r="F26" s="97"/>
      <c r="G26" s="188">
        <v>32.395000000000003</v>
      </c>
      <c r="H26" s="97"/>
      <c r="I26" s="79"/>
      <c r="J26" s="196"/>
      <c r="K26" s="19"/>
      <c r="L26" s="109">
        <v>777.43000000000006</v>
      </c>
      <c r="M26" s="110">
        <v>25184.844850000005</v>
      </c>
    </row>
    <row r="27" spans="1:13" x14ac:dyDescent="0.25">
      <c r="A27" s="104"/>
      <c r="B27" s="180"/>
      <c r="C27" s="105"/>
      <c r="D27" s="106"/>
      <c r="E27" s="104"/>
      <c r="F27" s="107"/>
      <c r="G27" s="108"/>
      <c r="H27" s="104"/>
      <c r="I27" s="116"/>
      <c r="J27" s="104"/>
      <c r="K27" s="104"/>
      <c r="L27" s="122"/>
      <c r="M27" s="123"/>
    </row>
    <row r="28" spans="1:13" ht="30" x14ac:dyDescent="0.25">
      <c r="A28" s="92" t="s">
        <v>161</v>
      </c>
      <c r="B28" s="179" t="s">
        <v>63</v>
      </c>
      <c r="C28" s="94" t="s">
        <v>164</v>
      </c>
      <c r="D28" s="95" t="s">
        <v>165</v>
      </c>
      <c r="E28" s="96" t="s">
        <v>114</v>
      </c>
      <c r="F28" s="97"/>
      <c r="G28" s="188">
        <v>158.65</v>
      </c>
      <c r="H28" s="97"/>
      <c r="I28" s="79"/>
      <c r="J28" s="196"/>
      <c r="K28" s="19"/>
      <c r="L28" s="109">
        <v>240</v>
      </c>
      <c r="M28" s="110">
        <v>38076</v>
      </c>
    </row>
    <row r="29" spans="1:13" x14ac:dyDescent="0.25">
      <c r="A29" s="104"/>
      <c r="B29" s="180"/>
      <c r="C29" s="105"/>
      <c r="D29" s="106"/>
      <c r="E29" s="104"/>
      <c r="F29" s="107"/>
      <c r="G29" s="108"/>
      <c r="H29" s="104"/>
      <c r="I29" s="116"/>
      <c r="J29" s="104"/>
      <c r="K29" s="104"/>
      <c r="L29" s="122"/>
      <c r="M29" s="123"/>
    </row>
    <row r="30" spans="1:13" x14ac:dyDescent="0.25">
      <c r="A30" s="72"/>
      <c r="B30" s="178" t="s">
        <v>48</v>
      </c>
      <c r="C30" s="77" t="s">
        <v>80</v>
      </c>
      <c r="D30" s="77" t="s">
        <v>81</v>
      </c>
      <c r="E30" s="72"/>
      <c r="F30" s="72"/>
      <c r="G30" s="75"/>
      <c r="H30" s="78">
        <v>0</v>
      </c>
      <c r="I30" s="87"/>
      <c r="J30" s="72"/>
      <c r="K30" s="72"/>
      <c r="L30" s="117"/>
      <c r="M30" s="118"/>
    </row>
    <row r="31" spans="1:13" ht="30" x14ac:dyDescent="0.25">
      <c r="A31" s="92" t="s">
        <v>166</v>
      </c>
      <c r="B31" s="179" t="s">
        <v>63</v>
      </c>
      <c r="C31" s="94" t="s">
        <v>83</v>
      </c>
      <c r="D31" s="95" t="s">
        <v>84</v>
      </c>
      <c r="E31" s="96" t="s">
        <v>85</v>
      </c>
      <c r="F31" s="97">
        <v>945.74</v>
      </c>
      <c r="G31" s="98">
        <v>151.66</v>
      </c>
      <c r="H31" s="97">
        <v>143430.9</v>
      </c>
      <c r="I31" s="79"/>
      <c r="J31" s="196"/>
      <c r="K31" s="19"/>
      <c r="L31" s="109">
        <v>240.512</v>
      </c>
      <c r="M31" s="110">
        <v>36476.049919999998</v>
      </c>
    </row>
    <row r="32" spans="1:13" ht="30" x14ac:dyDescent="0.25">
      <c r="A32" s="92" t="s">
        <v>167</v>
      </c>
      <c r="B32" s="179" t="s">
        <v>63</v>
      </c>
      <c r="C32" s="94" t="s">
        <v>168</v>
      </c>
      <c r="D32" s="95" t="s">
        <v>169</v>
      </c>
      <c r="E32" s="96" t="s">
        <v>85</v>
      </c>
      <c r="F32" s="97">
        <v>586.57000000000005</v>
      </c>
      <c r="G32" s="98">
        <v>154.66999999999999</v>
      </c>
      <c r="H32" s="97">
        <v>90724.800000000003</v>
      </c>
      <c r="I32" s="79"/>
      <c r="J32" s="196"/>
      <c r="K32" s="19"/>
      <c r="L32" s="109">
        <v>240.512</v>
      </c>
      <c r="M32" s="110">
        <v>37199.991039999994</v>
      </c>
    </row>
    <row r="33" spans="1:13" ht="15.75" thickBot="1" x14ac:dyDescent="0.3">
      <c r="A33" s="119"/>
      <c r="B33" s="119"/>
      <c r="C33" s="119"/>
      <c r="D33" s="119"/>
      <c r="E33" s="119"/>
      <c r="F33" s="119"/>
      <c r="G33" s="120"/>
      <c r="H33" s="119"/>
      <c r="I33" s="79"/>
      <c r="J33" s="19"/>
      <c r="K33" s="19"/>
      <c r="L33" s="190"/>
      <c r="M33" s="191"/>
    </row>
    <row r="38" spans="1:13" ht="15.75" thickBot="1" x14ac:dyDescent="0.3"/>
    <row r="39" spans="1:13" ht="20.25" x14ac:dyDescent="0.25">
      <c r="A39" s="63"/>
      <c r="B39" s="19"/>
      <c r="C39" s="63" t="s">
        <v>99</v>
      </c>
      <c r="D39" s="19"/>
      <c r="E39" s="19"/>
      <c r="F39" s="19"/>
      <c r="G39" s="64"/>
      <c r="H39" s="19"/>
      <c r="I39" s="79"/>
      <c r="J39" s="19"/>
      <c r="K39" s="19"/>
      <c r="L39" s="450" t="s">
        <v>171</v>
      </c>
      <c r="M39" s="451"/>
    </row>
    <row r="40" spans="1:13" ht="24" x14ac:dyDescent="0.25">
      <c r="A40" s="137" t="s">
        <v>39</v>
      </c>
      <c r="B40" s="66" t="s">
        <v>40</v>
      </c>
      <c r="C40" s="66" t="s">
        <v>41</v>
      </c>
      <c r="D40" s="66" t="s">
        <v>42</v>
      </c>
      <c r="E40" s="66" t="s">
        <v>43</v>
      </c>
      <c r="F40" s="66" t="s">
        <v>44</v>
      </c>
      <c r="G40" s="67" t="s">
        <v>45</v>
      </c>
      <c r="H40" s="68" t="s">
        <v>46</v>
      </c>
      <c r="I40" s="80"/>
      <c r="J40" s="81"/>
      <c r="K40" s="81"/>
      <c r="L40" s="82" t="s">
        <v>60</v>
      </c>
      <c r="M40" s="83" t="s">
        <v>61</v>
      </c>
    </row>
    <row r="41" spans="1:13" ht="15.75" x14ac:dyDescent="0.25">
      <c r="A41" s="72"/>
      <c r="B41" s="178" t="s">
        <v>48</v>
      </c>
      <c r="C41" s="74" t="s">
        <v>49</v>
      </c>
      <c r="D41" s="74" t="s">
        <v>50</v>
      </c>
      <c r="E41" s="72"/>
      <c r="F41" s="72"/>
      <c r="G41" s="75"/>
      <c r="H41" s="76">
        <v>0</v>
      </c>
      <c r="I41" s="87"/>
      <c r="J41" s="72"/>
      <c r="K41" s="72"/>
      <c r="L41" s="117"/>
      <c r="M41" s="189">
        <v>864184.24889999966</v>
      </c>
    </row>
    <row r="42" spans="1:13" x14ac:dyDescent="0.25">
      <c r="A42" s="72"/>
      <c r="B42" s="178" t="s">
        <v>48</v>
      </c>
      <c r="C42" s="77" t="s">
        <v>51</v>
      </c>
      <c r="D42" s="77" t="s">
        <v>52</v>
      </c>
      <c r="E42" s="72"/>
      <c r="F42" s="72"/>
      <c r="G42" s="75"/>
      <c r="H42" s="78">
        <v>0</v>
      </c>
      <c r="I42" s="87"/>
      <c r="J42" s="72"/>
      <c r="K42" s="72"/>
      <c r="L42" s="90"/>
      <c r="M42" s="91"/>
    </row>
    <row r="43" spans="1:13" ht="30" x14ac:dyDescent="0.25">
      <c r="A43" s="92" t="s">
        <v>172</v>
      </c>
      <c r="B43" s="179" t="s">
        <v>63</v>
      </c>
      <c r="C43" s="94" t="s">
        <v>141</v>
      </c>
      <c r="D43" s="95" t="s">
        <v>142</v>
      </c>
      <c r="E43" s="96" t="s">
        <v>66</v>
      </c>
      <c r="F43" s="97">
        <v>633.71</v>
      </c>
      <c r="G43" s="98">
        <v>31.57</v>
      </c>
      <c r="H43" s="97">
        <v>20006.2</v>
      </c>
      <c r="I43" s="79"/>
      <c r="J43" s="19"/>
      <c r="K43" s="19"/>
      <c r="L43" s="109">
        <v>1098.52</v>
      </c>
      <c r="M43" s="110">
        <v>34680.276400000002</v>
      </c>
    </row>
    <row r="44" spans="1:13" ht="30" x14ac:dyDescent="0.25">
      <c r="A44" s="92" t="s">
        <v>173</v>
      </c>
      <c r="B44" s="179" t="s">
        <v>63</v>
      </c>
      <c r="C44" s="94" t="s">
        <v>147</v>
      </c>
      <c r="D44" s="95" t="s">
        <v>148</v>
      </c>
      <c r="E44" s="96" t="s">
        <v>96</v>
      </c>
      <c r="F44" s="97">
        <v>4053.66</v>
      </c>
      <c r="G44" s="98">
        <v>98.04</v>
      </c>
      <c r="H44" s="97">
        <v>397420.79999999999</v>
      </c>
      <c r="I44" s="79"/>
      <c r="J44" s="19"/>
      <c r="K44" s="19"/>
      <c r="L44" s="144"/>
      <c r="M44" s="113"/>
    </row>
    <row r="45" spans="1:13" x14ac:dyDescent="0.25">
      <c r="A45" s="72"/>
      <c r="B45" s="178" t="s">
        <v>48</v>
      </c>
      <c r="C45" s="77" t="s">
        <v>72</v>
      </c>
      <c r="D45" s="77" t="s">
        <v>73</v>
      </c>
      <c r="E45" s="72"/>
      <c r="F45" s="72"/>
      <c r="G45" s="75"/>
      <c r="H45" s="78">
        <v>0</v>
      </c>
      <c r="I45" s="87"/>
      <c r="J45" s="72"/>
      <c r="K45" s="72"/>
      <c r="L45" s="144"/>
      <c r="M45" s="113"/>
    </row>
    <row r="46" spans="1:13" ht="30" x14ac:dyDescent="0.25">
      <c r="A46" s="92" t="s">
        <v>124</v>
      </c>
      <c r="B46" s="179" t="s">
        <v>63</v>
      </c>
      <c r="C46" s="94" t="s">
        <v>154</v>
      </c>
      <c r="D46" s="95" t="s">
        <v>155</v>
      </c>
      <c r="E46" s="96" t="s">
        <v>66</v>
      </c>
      <c r="F46" s="97">
        <v>633.71</v>
      </c>
      <c r="G46" s="98">
        <v>745.05</v>
      </c>
      <c r="H46" s="97">
        <v>472145.6</v>
      </c>
      <c r="I46" s="79"/>
      <c r="J46" s="19"/>
      <c r="K46" s="19"/>
      <c r="L46" s="109">
        <v>1098.52</v>
      </c>
      <c r="M46" s="110">
        <v>818452.32599999988</v>
      </c>
    </row>
    <row r="47" spans="1:13" x14ac:dyDescent="0.25">
      <c r="A47" s="181" t="s">
        <v>174</v>
      </c>
      <c r="B47" s="182" t="s">
        <v>157</v>
      </c>
      <c r="C47" s="183" t="s">
        <v>158</v>
      </c>
      <c r="D47" s="184" t="s">
        <v>159</v>
      </c>
      <c r="E47" s="185" t="s">
        <v>85</v>
      </c>
      <c r="F47" s="186">
        <v>126.74</v>
      </c>
      <c r="G47" s="187">
        <v>3763.5</v>
      </c>
      <c r="H47" s="186">
        <v>476986</v>
      </c>
      <c r="I47" s="193"/>
      <c r="J47" s="19"/>
      <c r="K47" s="19"/>
      <c r="L47" s="109">
        <v>-55.781400000000026</v>
      </c>
      <c r="M47" s="110">
        <v>-209933.29890000011</v>
      </c>
    </row>
    <row r="48" spans="1:13" x14ac:dyDescent="0.25">
      <c r="A48" s="99"/>
      <c r="B48" s="180" t="s">
        <v>67</v>
      </c>
      <c r="C48" s="100" t="s">
        <v>68</v>
      </c>
      <c r="D48" s="101" t="s">
        <v>175</v>
      </c>
      <c r="E48" s="99"/>
      <c r="F48" s="102">
        <v>633.71</v>
      </c>
      <c r="G48" s="103"/>
      <c r="H48" s="99"/>
      <c r="I48" s="111"/>
      <c r="J48" s="99"/>
      <c r="K48" s="99"/>
      <c r="L48" s="194">
        <v>52.9206</v>
      </c>
      <c r="M48" s="113"/>
    </row>
    <row r="49" spans="1:13" x14ac:dyDescent="0.25">
      <c r="A49" s="99"/>
      <c r="B49" s="180" t="s">
        <v>67</v>
      </c>
      <c r="C49" s="99"/>
      <c r="D49" s="101" t="s">
        <v>176</v>
      </c>
      <c r="E49" s="99"/>
      <c r="F49" s="102">
        <v>126.74</v>
      </c>
      <c r="G49" s="103"/>
      <c r="H49" s="99"/>
      <c r="I49" s="111"/>
      <c r="J49" s="99"/>
      <c r="K49" s="99"/>
      <c r="L49" s="194">
        <v>-108.70200000000003</v>
      </c>
      <c r="M49" s="118"/>
    </row>
    <row r="50" spans="1:13" x14ac:dyDescent="0.25">
      <c r="A50" s="72"/>
      <c r="B50" s="178" t="s">
        <v>48</v>
      </c>
      <c r="C50" s="77" t="s">
        <v>109</v>
      </c>
      <c r="D50" s="77" t="s">
        <v>110</v>
      </c>
      <c r="E50" s="72"/>
      <c r="F50" s="72"/>
      <c r="G50" s="75"/>
      <c r="H50" s="78">
        <v>0</v>
      </c>
      <c r="I50" s="87"/>
      <c r="J50" s="72"/>
      <c r="K50" s="72"/>
      <c r="L50" s="144"/>
      <c r="M50" s="113"/>
    </row>
    <row r="51" spans="1:13" ht="60" x14ac:dyDescent="0.25">
      <c r="A51" s="92" t="s">
        <v>161</v>
      </c>
      <c r="B51" s="179" t="s">
        <v>63</v>
      </c>
      <c r="C51" s="94" t="s">
        <v>162</v>
      </c>
      <c r="D51" s="95" t="s">
        <v>163</v>
      </c>
      <c r="E51" s="96" t="s">
        <v>66</v>
      </c>
      <c r="F51" s="97"/>
      <c r="G51" s="188">
        <v>32.395000000000003</v>
      </c>
      <c r="H51" s="97"/>
      <c r="I51" s="79"/>
      <c r="J51" s="19"/>
      <c r="K51" s="19"/>
      <c r="L51" s="109">
        <v>1098.52</v>
      </c>
      <c r="M51" s="110">
        <v>35586.555400000005</v>
      </c>
    </row>
    <row r="52" spans="1:13" x14ac:dyDescent="0.25">
      <c r="A52" s="104"/>
      <c r="B52" s="180"/>
      <c r="C52" s="105"/>
      <c r="D52" s="106"/>
      <c r="E52" s="104"/>
      <c r="F52" s="107"/>
      <c r="G52" s="108"/>
      <c r="H52" s="104"/>
      <c r="I52" s="116"/>
      <c r="J52" s="104"/>
      <c r="K52" s="104"/>
      <c r="L52" s="122"/>
      <c r="M52" s="123"/>
    </row>
    <row r="53" spans="1:13" ht="30" x14ac:dyDescent="0.25">
      <c r="A53" s="92" t="s">
        <v>161</v>
      </c>
      <c r="B53" s="179" t="s">
        <v>63</v>
      </c>
      <c r="C53" s="94" t="s">
        <v>164</v>
      </c>
      <c r="D53" s="95" t="s">
        <v>165</v>
      </c>
      <c r="E53" s="96" t="s">
        <v>114</v>
      </c>
      <c r="F53" s="97"/>
      <c r="G53" s="188">
        <v>158.65</v>
      </c>
      <c r="H53" s="97"/>
      <c r="I53" s="79"/>
      <c r="J53" s="19"/>
      <c r="K53" s="19"/>
      <c r="L53" s="109">
        <v>1168.6000000000001</v>
      </c>
      <c r="M53" s="110">
        <v>185398.39</v>
      </c>
    </row>
    <row r="54" spans="1:13" x14ac:dyDescent="0.25">
      <c r="A54" s="104"/>
      <c r="B54" s="180"/>
      <c r="C54" s="105"/>
      <c r="D54" s="106"/>
      <c r="E54" s="104"/>
      <c r="F54" s="107"/>
      <c r="G54" s="108"/>
      <c r="H54" s="104"/>
      <c r="I54" s="116"/>
      <c r="J54" s="104"/>
      <c r="K54" s="104"/>
      <c r="L54" s="122"/>
      <c r="M54" s="123"/>
    </row>
    <row r="55" spans="1:13" x14ac:dyDescent="0.25">
      <c r="A55" s="72"/>
      <c r="B55" s="178" t="s">
        <v>48</v>
      </c>
      <c r="C55" s="77" t="s">
        <v>80</v>
      </c>
      <c r="D55" s="77" t="s">
        <v>81</v>
      </c>
      <c r="E55" s="72"/>
      <c r="F55" s="72"/>
      <c r="G55" s="75"/>
      <c r="H55" s="78">
        <v>0</v>
      </c>
      <c r="I55" s="87"/>
      <c r="J55" s="72"/>
      <c r="K55" s="72"/>
      <c r="L55" s="144"/>
      <c r="M55" s="113"/>
    </row>
    <row r="56" spans="1:13" ht="30" x14ac:dyDescent="0.25">
      <c r="A56" s="92" t="s">
        <v>118</v>
      </c>
      <c r="B56" s="179" t="s">
        <v>63</v>
      </c>
      <c r="C56" s="94" t="s">
        <v>83</v>
      </c>
      <c r="D56" s="95" t="s">
        <v>84</v>
      </c>
      <c r="E56" s="96" t="s">
        <v>85</v>
      </c>
      <c r="F56" s="97">
        <v>830.06</v>
      </c>
      <c r="G56" s="98">
        <v>122.13</v>
      </c>
      <c r="H56" s="97">
        <v>101375.2</v>
      </c>
      <c r="I56" s="79"/>
      <c r="J56" s="19"/>
      <c r="K56" s="19"/>
      <c r="L56" s="144"/>
      <c r="M56" s="145"/>
    </row>
    <row r="57" spans="1:13" ht="30" x14ac:dyDescent="0.25">
      <c r="A57" s="92" t="s">
        <v>177</v>
      </c>
      <c r="B57" s="179" t="s">
        <v>63</v>
      </c>
      <c r="C57" s="94" t="s">
        <v>168</v>
      </c>
      <c r="D57" s="95" t="s">
        <v>169</v>
      </c>
      <c r="E57" s="96" t="s">
        <v>85</v>
      </c>
      <c r="F57" s="97">
        <v>651.41</v>
      </c>
      <c r="G57" s="98">
        <v>154.66999999999999</v>
      </c>
      <c r="H57" s="97">
        <v>100753.60000000001</v>
      </c>
      <c r="I57" s="79"/>
      <c r="J57" s="19"/>
      <c r="K57" s="19"/>
      <c r="L57" s="144"/>
      <c r="M57" s="113"/>
    </row>
    <row r="58" spans="1:13" ht="15.75" thickBot="1" x14ac:dyDescent="0.3">
      <c r="A58" s="119"/>
      <c r="B58" s="119"/>
      <c r="C58" s="119"/>
      <c r="D58" s="119"/>
      <c r="E58" s="119"/>
      <c r="F58" s="119"/>
      <c r="G58" s="120"/>
      <c r="H58" s="119"/>
      <c r="I58" s="79"/>
      <c r="J58" s="19"/>
      <c r="K58" s="19"/>
      <c r="L58" s="126"/>
      <c r="M58" s="191"/>
    </row>
    <row r="59" spans="1:13" ht="15.75" thickBot="1" x14ac:dyDescent="0.3">
      <c r="G59" s="121"/>
      <c r="L59" s="192"/>
    </row>
    <row r="60" spans="1:13" ht="20.25" x14ac:dyDescent="0.25">
      <c r="A60" s="63"/>
      <c r="B60" s="19"/>
      <c r="C60" s="63" t="s">
        <v>133</v>
      </c>
      <c r="D60" s="19"/>
      <c r="E60" s="19"/>
      <c r="F60" s="19"/>
      <c r="G60" s="64"/>
      <c r="H60" s="19"/>
      <c r="I60" s="79"/>
      <c r="L60" s="446" t="s">
        <v>178</v>
      </c>
      <c r="M60" s="447"/>
    </row>
    <row r="61" spans="1:13" ht="24.75" thickBot="1" x14ac:dyDescent="0.3">
      <c r="A61" s="137" t="s">
        <v>39</v>
      </c>
      <c r="B61" s="66" t="s">
        <v>40</v>
      </c>
      <c r="C61" s="66" t="s">
        <v>41</v>
      </c>
      <c r="D61" s="66" t="s">
        <v>42</v>
      </c>
      <c r="E61" s="66" t="s">
        <v>43</v>
      </c>
      <c r="F61" s="66" t="s">
        <v>44</v>
      </c>
      <c r="G61" s="67" t="s">
        <v>45</v>
      </c>
      <c r="H61" s="68" t="s">
        <v>46</v>
      </c>
      <c r="I61" s="80"/>
      <c r="J61" s="81"/>
      <c r="L61" s="199" t="s">
        <v>60</v>
      </c>
      <c r="M61" s="200" t="s">
        <v>61</v>
      </c>
    </row>
    <row r="62" spans="1:13" ht="16.5" thickBot="1" x14ac:dyDescent="0.3">
      <c r="A62" s="69" t="s">
        <v>47</v>
      </c>
      <c r="B62" s="198"/>
      <c r="C62" s="19"/>
      <c r="D62" s="19"/>
      <c r="E62" s="19"/>
      <c r="F62" s="19"/>
      <c r="G62" s="64"/>
      <c r="H62" s="71">
        <v>0</v>
      </c>
      <c r="I62" s="79"/>
      <c r="J62" s="19"/>
      <c r="L62" s="174"/>
      <c r="M62" s="201">
        <v>-140863.4</v>
      </c>
    </row>
    <row r="63" spans="1:13" ht="16.5" thickBot="1" x14ac:dyDescent="0.3">
      <c r="A63" s="72"/>
      <c r="B63" s="178" t="s">
        <v>48</v>
      </c>
      <c r="C63" s="74" t="s">
        <v>49</v>
      </c>
      <c r="D63" s="74" t="s">
        <v>50</v>
      </c>
      <c r="E63" s="72"/>
      <c r="F63" s="72"/>
      <c r="G63" s="75"/>
      <c r="H63" s="76">
        <v>0</v>
      </c>
      <c r="I63" s="87"/>
      <c r="J63" s="72"/>
      <c r="L63" s="448"/>
      <c r="M63" s="449"/>
    </row>
    <row r="64" spans="1:13" x14ac:dyDescent="0.25">
      <c r="A64" s="72"/>
      <c r="B64" s="178" t="s">
        <v>48</v>
      </c>
      <c r="C64" s="77" t="s">
        <v>72</v>
      </c>
      <c r="D64" s="77" t="s">
        <v>73</v>
      </c>
      <c r="E64" s="72"/>
      <c r="F64" s="72"/>
      <c r="G64" s="75"/>
      <c r="H64" s="78">
        <v>0</v>
      </c>
      <c r="I64" s="87"/>
      <c r="J64" s="72"/>
      <c r="L64" s="202"/>
      <c r="M64" s="203"/>
    </row>
    <row r="65" spans="1:16" ht="30" x14ac:dyDescent="0.25">
      <c r="A65" s="92" t="s">
        <v>179</v>
      </c>
      <c r="B65" s="179" t="s">
        <v>63</v>
      </c>
      <c r="C65" s="94" t="s">
        <v>150</v>
      </c>
      <c r="D65" s="95" t="s">
        <v>151</v>
      </c>
      <c r="E65" s="96" t="s">
        <v>66</v>
      </c>
      <c r="F65" s="97">
        <v>94.05</v>
      </c>
      <c r="G65" s="98">
        <v>155.66999999999999</v>
      </c>
      <c r="H65" s="97">
        <v>14640.8</v>
      </c>
      <c r="I65" s="79"/>
      <c r="J65" s="19"/>
      <c r="L65" s="144"/>
      <c r="M65" s="110"/>
    </row>
    <row r="66" spans="1:16" ht="15.75" thickBot="1" x14ac:dyDescent="0.3">
      <c r="A66" s="99"/>
      <c r="B66" s="180" t="s">
        <v>67</v>
      </c>
      <c r="C66" s="100" t="s">
        <v>68</v>
      </c>
      <c r="D66" s="101" t="s">
        <v>180</v>
      </c>
      <c r="E66" s="99"/>
      <c r="F66" s="102">
        <v>94.05</v>
      </c>
      <c r="G66" s="103"/>
      <c r="H66" s="99"/>
      <c r="I66" s="111"/>
      <c r="J66" s="99"/>
      <c r="L66" s="204"/>
      <c r="M66" s="127"/>
    </row>
    <row r="67" spans="1:16" ht="30" x14ac:dyDescent="0.25">
      <c r="A67" s="92" t="s">
        <v>106</v>
      </c>
      <c r="B67" s="179" t="s">
        <v>63</v>
      </c>
      <c r="C67" s="94" t="s">
        <v>154</v>
      </c>
      <c r="D67" s="95" t="s">
        <v>155</v>
      </c>
      <c r="E67" s="96" t="s">
        <v>66</v>
      </c>
      <c r="F67" s="97">
        <v>94.05</v>
      </c>
      <c r="G67" s="98">
        <v>745.05</v>
      </c>
      <c r="H67" s="97">
        <v>70072</v>
      </c>
      <c r="I67" s="79"/>
      <c r="J67" s="19"/>
      <c r="L67" s="142">
        <v>-94.05</v>
      </c>
      <c r="M67" s="203">
        <v>-70072</v>
      </c>
    </row>
    <row r="68" spans="1:16" x14ac:dyDescent="0.25">
      <c r="A68" s="99"/>
      <c r="B68" s="180" t="s">
        <v>67</v>
      </c>
      <c r="C68" s="100" t="s">
        <v>68</v>
      </c>
      <c r="D68" s="101" t="s">
        <v>180</v>
      </c>
      <c r="E68" s="99"/>
      <c r="F68" s="102">
        <v>94.05</v>
      </c>
      <c r="G68" s="103"/>
      <c r="H68" s="99"/>
      <c r="I68" s="111"/>
      <c r="J68" s="99"/>
      <c r="L68" s="144"/>
      <c r="M68" s="145"/>
    </row>
    <row r="69" spans="1:16" x14ac:dyDescent="0.25">
      <c r="A69" s="181" t="s">
        <v>124</v>
      </c>
      <c r="B69" s="182" t="s">
        <v>157</v>
      </c>
      <c r="C69" s="183" t="s">
        <v>158</v>
      </c>
      <c r="D69" s="184" t="s">
        <v>159</v>
      </c>
      <c r="E69" s="185" t="s">
        <v>85</v>
      </c>
      <c r="F69" s="186">
        <v>18.809999999999999</v>
      </c>
      <c r="G69" s="187">
        <v>3763.5</v>
      </c>
      <c r="H69" s="186">
        <v>70791.399999999994</v>
      </c>
      <c r="I69" s="193"/>
      <c r="J69" s="19"/>
      <c r="L69" s="144">
        <v>-18.809999999999999</v>
      </c>
      <c r="M69" s="145">
        <v>-70791.399999999994</v>
      </c>
    </row>
    <row r="70" spans="1:16" x14ac:dyDescent="0.25">
      <c r="A70" s="99"/>
      <c r="B70" s="180" t="s">
        <v>67</v>
      </c>
      <c r="C70" s="100" t="s">
        <v>68</v>
      </c>
      <c r="D70" s="101" t="s">
        <v>180</v>
      </c>
      <c r="E70" s="99"/>
      <c r="F70" s="102">
        <v>94.05</v>
      </c>
      <c r="G70" s="103"/>
      <c r="H70" s="99"/>
      <c r="I70" s="111"/>
      <c r="J70" s="99"/>
      <c r="L70" s="205"/>
      <c r="M70" s="206"/>
    </row>
    <row r="71" spans="1:16" ht="15.75" thickBot="1" x14ac:dyDescent="0.3">
      <c r="A71" s="99"/>
      <c r="B71" s="180" t="s">
        <v>67</v>
      </c>
      <c r="C71" s="99"/>
      <c r="D71" s="101" t="s">
        <v>181</v>
      </c>
      <c r="E71" s="99"/>
      <c r="F71" s="102">
        <v>18.809999999999999</v>
      </c>
      <c r="G71" s="103"/>
      <c r="H71" s="99"/>
      <c r="I71" s="111"/>
      <c r="J71" s="99"/>
      <c r="L71" s="126"/>
      <c r="M71" s="127"/>
    </row>
    <row r="74" spans="1:16" x14ac:dyDescent="0.25">
      <c r="G74" s="121"/>
      <c r="L74" s="443"/>
      <c r="M74" s="443"/>
    </row>
    <row r="75" spans="1:16" x14ac:dyDescent="0.25">
      <c r="A75" s="19"/>
      <c r="B75" s="19"/>
      <c r="C75" s="19" t="s">
        <v>122</v>
      </c>
      <c r="D75" s="19"/>
      <c r="E75" s="19"/>
      <c r="F75" s="19"/>
      <c r="G75" s="64"/>
      <c r="H75" s="19"/>
      <c r="L75" s="444" t="s">
        <v>308</v>
      </c>
      <c r="M75" s="445"/>
    </row>
    <row r="76" spans="1:16" ht="24.75" thickBot="1" x14ac:dyDescent="0.3">
      <c r="A76" s="137" t="s">
        <v>39</v>
      </c>
      <c r="B76" s="66" t="s">
        <v>40</v>
      </c>
      <c r="C76" s="66" t="s">
        <v>41</v>
      </c>
      <c r="D76" s="66" t="s">
        <v>42</v>
      </c>
      <c r="E76" s="66" t="s">
        <v>43</v>
      </c>
      <c r="F76" s="66" t="s">
        <v>44</v>
      </c>
      <c r="G76" s="67" t="s">
        <v>45</v>
      </c>
      <c r="H76" s="68" t="s">
        <v>46</v>
      </c>
      <c r="L76" s="227" t="s">
        <v>60</v>
      </c>
      <c r="M76" s="227" t="s">
        <v>61</v>
      </c>
      <c r="P76" s="192"/>
    </row>
    <row r="77" spans="1:16" ht="16.5" thickBot="1" x14ac:dyDescent="0.3">
      <c r="A77" s="69" t="s">
        <v>47</v>
      </c>
      <c r="B77" s="19"/>
      <c r="C77" s="19"/>
      <c r="D77" s="19"/>
      <c r="E77" s="19"/>
      <c r="F77" s="19"/>
      <c r="G77" s="64"/>
      <c r="H77" s="71"/>
      <c r="L77" s="228"/>
      <c r="M77" s="229">
        <v>-41188.125</v>
      </c>
    </row>
    <row r="78" spans="1:16" ht="15.75" x14ac:dyDescent="0.25">
      <c r="A78" s="72"/>
      <c r="B78" s="88" t="s">
        <v>48</v>
      </c>
      <c r="C78" s="74" t="s">
        <v>49</v>
      </c>
      <c r="D78" s="74" t="s">
        <v>50</v>
      </c>
      <c r="E78" s="72"/>
      <c r="F78" s="72"/>
      <c r="G78" s="75"/>
      <c r="H78" s="76"/>
      <c r="L78" s="245"/>
      <c r="M78" s="246"/>
    </row>
    <row r="79" spans="1:16" x14ac:dyDescent="0.25">
      <c r="A79" s="72"/>
      <c r="B79" s="88" t="s">
        <v>48</v>
      </c>
      <c r="C79" s="77" t="s">
        <v>51</v>
      </c>
      <c r="D79" s="77" t="s">
        <v>52</v>
      </c>
      <c r="E79" s="72"/>
      <c r="F79" s="72"/>
      <c r="G79" s="75"/>
      <c r="H79" s="78"/>
      <c r="L79" s="230"/>
      <c r="M79" s="231"/>
    </row>
    <row r="80" spans="1:16" ht="30" x14ac:dyDescent="0.25">
      <c r="A80" s="92" t="s">
        <v>51</v>
      </c>
      <c r="B80" s="92" t="s">
        <v>63</v>
      </c>
      <c r="C80" s="94" t="s">
        <v>182</v>
      </c>
      <c r="D80" s="95" t="s">
        <v>183</v>
      </c>
      <c r="E80" s="96" t="s">
        <v>68</v>
      </c>
      <c r="F80" s="97">
        <v>0</v>
      </c>
      <c r="G80" s="207"/>
      <c r="H80" s="97">
        <v>0</v>
      </c>
      <c r="L80" s="232"/>
      <c r="M80" s="233"/>
    </row>
    <row r="81" spans="1:13" ht="30" x14ac:dyDescent="0.25">
      <c r="A81" s="208" t="s">
        <v>172</v>
      </c>
      <c r="B81" s="208" t="s">
        <v>63</v>
      </c>
      <c r="C81" s="209" t="s">
        <v>141</v>
      </c>
      <c r="D81" s="210" t="s">
        <v>142</v>
      </c>
      <c r="E81" s="211" t="s">
        <v>66</v>
      </c>
      <c r="F81" s="212">
        <v>182.05</v>
      </c>
      <c r="G81" s="213">
        <v>31.57</v>
      </c>
      <c r="H81" s="212">
        <v>5747.3</v>
      </c>
      <c r="L81" s="234">
        <v>-27.500000000000004</v>
      </c>
      <c r="M81" s="235"/>
    </row>
    <row r="82" spans="1:13" ht="30" x14ac:dyDescent="0.25">
      <c r="A82" s="92" t="s">
        <v>184</v>
      </c>
      <c r="B82" s="92" t="s">
        <v>63</v>
      </c>
      <c r="C82" s="94" t="s">
        <v>185</v>
      </c>
      <c r="D82" s="95" t="s">
        <v>186</v>
      </c>
      <c r="E82" s="96" t="s">
        <v>66</v>
      </c>
      <c r="F82" s="97">
        <v>182.05</v>
      </c>
      <c r="G82" s="98">
        <v>23.67</v>
      </c>
      <c r="H82" s="97">
        <v>4309.1000000000004</v>
      </c>
      <c r="L82" s="234"/>
      <c r="M82" s="233"/>
    </row>
    <row r="83" spans="1:13" ht="30" x14ac:dyDescent="0.25">
      <c r="A83" s="92" t="s">
        <v>62</v>
      </c>
      <c r="B83" s="92" t="s">
        <v>63</v>
      </c>
      <c r="C83" s="94" t="s">
        <v>144</v>
      </c>
      <c r="D83" s="95" t="s">
        <v>145</v>
      </c>
      <c r="E83" s="96" t="s">
        <v>66</v>
      </c>
      <c r="F83" s="97">
        <v>191.95</v>
      </c>
      <c r="G83" s="98">
        <v>26.3</v>
      </c>
      <c r="H83" s="97">
        <v>5048.3</v>
      </c>
      <c r="L83" s="236"/>
      <c r="M83" s="233"/>
    </row>
    <row r="84" spans="1:13" ht="30" x14ac:dyDescent="0.25">
      <c r="A84" s="92" t="s">
        <v>72</v>
      </c>
      <c r="B84" s="92" t="s">
        <v>63</v>
      </c>
      <c r="C84" s="94" t="s">
        <v>187</v>
      </c>
      <c r="D84" s="95" t="s">
        <v>188</v>
      </c>
      <c r="E84" s="96" t="s">
        <v>66</v>
      </c>
      <c r="F84" s="97">
        <v>935.55</v>
      </c>
      <c r="G84" s="98">
        <v>40.770000000000003</v>
      </c>
      <c r="H84" s="97">
        <v>38142.400000000001</v>
      </c>
      <c r="L84" s="236"/>
      <c r="M84" s="233"/>
    </row>
    <row r="85" spans="1:13" ht="30" x14ac:dyDescent="0.25">
      <c r="A85" s="92" t="s">
        <v>100</v>
      </c>
      <c r="B85" s="92" t="s">
        <v>63</v>
      </c>
      <c r="C85" s="94" t="s">
        <v>189</v>
      </c>
      <c r="D85" s="95" t="s">
        <v>190</v>
      </c>
      <c r="E85" s="96" t="s">
        <v>66</v>
      </c>
      <c r="F85" s="97">
        <v>160.05000000000001</v>
      </c>
      <c r="G85" s="98">
        <v>53.92</v>
      </c>
      <c r="H85" s="97">
        <v>8629.9</v>
      </c>
      <c r="L85" s="236"/>
      <c r="M85" s="233"/>
    </row>
    <row r="86" spans="1:13" ht="30" x14ac:dyDescent="0.25">
      <c r="A86" s="92" t="s">
        <v>143</v>
      </c>
      <c r="B86" s="92" t="s">
        <v>63</v>
      </c>
      <c r="C86" s="94" t="s">
        <v>191</v>
      </c>
      <c r="D86" s="95" t="s">
        <v>192</v>
      </c>
      <c r="E86" s="96" t="s">
        <v>66</v>
      </c>
      <c r="F86" s="97">
        <v>9.9</v>
      </c>
      <c r="G86" s="207">
        <v>336.7</v>
      </c>
      <c r="H86" s="97">
        <v>3333.3</v>
      </c>
      <c r="L86" s="236"/>
      <c r="M86" s="233"/>
    </row>
    <row r="87" spans="1:13" ht="30" x14ac:dyDescent="0.25">
      <c r="A87" s="148" t="s">
        <v>123</v>
      </c>
      <c r="B87" s="148" t="s">
        <v>63</v>
      </c>
      <c r="C87" s="149" t="s">
        <v>64</v>
      </c>
      <c r="D87" s="150" t="s">
        <v>65</v>
      </c>
      <c r="E87" s="151" t="s">
        <v>66</v>
      </c>
      <c r="F87" s="152">
        <v>1499.4</v>
      </c>
      <c r="G87" s="153">
        <v>55.24</v>
      </c>
      <c r="H87" s="152">
        <v>82826.899999999994</v>
      </c>
      <c r="L87" s="237"/>
      <c r="M87" s="238"/>
    </row>
    <row r="88" spans="1:13" ht="30" x14ac:dyDescent="0.25">
      <c r="A88" s="92" t="s">
        <v>109</v>
      </c>
      <c r="B88" s="92" t="s">
        <v>63</v>
      </c>
      <c r="C88" s="94" t="s">
        <v>193</v>
      </c>
      <c r="D88" s="95" t="s">
        <v>194</v>
      </c>
      <c r="E88" s="96" t="s">
        <v>66</v>
      </c>
      <c r="F88" s="97">
        <v>785.4</v>
      </c>
      <c r="G88" s="207">
        <v>151.25</v>
      </c>
      <c r="H88" s="97">
        <v>118791.8</v>
      </c>
      <c r="L88" s="237"/>
      <c r="M88" s="238"/>
    </row>
    <row r="89" spans="1:13" ht="30" x14ac:dyDescent="0.25">
      <c r="A89" s="92" t="s">
        <v>195</v>
      </c>
      <c r="B89" s="92" t="s">
        <v>63</v>
      </c>
      <c r="C89" s="94" t="s">
        <v>196</v>
      </c>
      <c r="D89" s="95" t="s">
        <v>197</v>
      </c>
      <c r="E89" s="96" t="s">
        <v>114</v>
      </c>
      <c r="F89" s="97">
        <v>95.7</v>
      </c>
      <c r="G89" s="207">
        <v>170.98</v>
      </c>
      <c r="H89" s="97">
        <v>16362.8</v>
      </c>
      <c r="L89" s="236"/>
      <c r="M89" s="239"/>
    </row>
    <row r="90" spans="1:13" ht="30" x14ac:dyDescent="0.25">
      <c r="A90" s="92" t="s">
        <v>198</v>
      </c>
      <c r="B90" s="92" t="s">
        <v>63</v>
      </c>
      <c r="C90" s="94" t="s">
        <v>199</v>
      </c>
      <c r="D90" s="95" t="s">
        <v>200</v>
      </c>
      <c r="E90" s="96" t="s">
        <v>114</v>
      </c>
      <c r="F90" s="97">
        <v>143.55000000000001</v>
      </c>
      <c r="G90" s="207">
        <v>147.30000000000001</v>
      </c>
      <c r="H90" s="97">
        <v>21144.9</v>
      </c>
      <c r="L90" s="236"/>
      <c r="M90" s="239"/>
    </row>
    <row r="91" spans="1:13" ht="30" x14ac:dyDescent="0.25">
      <c r="A91" s="214" t="s">
        <v>93</v>
      </c>
      <c r="B91" s="214" t="s">
        <v>63</v>
      </c>
      <c r="C91" s="215" t="s">
        <v>201</v>
      </c>
      <c r="D91" s="216" t="s">
        <v>202</v>
      </c>
      <c r="E91" s="217" t="s">
        <v>96</v>
      </c>
      <c r="F91" s="218">
        <v>70.180000000000007</v>
      </c>
      <c r="G91" s="219">
        <v>38.14</v>
      </c>
      <c r="H91" s="218">
        <v>2676.7</v>
      </c>
      <c r="L91" s="236"/>
      <c r="M91" s="239"/>
    </row>
    <row r="92" spans="1:13" ht="30" x14ac:dyDescent="0.25">
      <c r="A92" s="92" t="s">
        <v>203</v>
      </c>
      <c r="B92" s="92" t="s">
        <v>63</v>
      </c>
      <c r="C92" s="94" t="s">
        <v>204</v>
      </c>
      <c r="D92" s="95" t="s">
        <v>205</v>
      </c>
      <c r="E92" s="96" t="s">
        <v>66</v>
      </c>
      <c r="F92" s="97">
        <v>113.5</v>
      </c>
      <c r="G92" s="207">
        <v>38.14</v>
      </c>
      <c r="H92" s="97">
        <v>4328.8999999999996</v>
      </c>
      <c r="L92" s="232"/>
      <c r="M92" s="233"/>
    </row>
    <row r="93" spans="1:13" ht="30" x14ac:dyDescent="0.25">
      <c r="A93" s="92" t="s">
        <v>206</v>
      </c>
      <c r="B93" s="92" t="s">
        <v>63</v>
      </c>
      <c r="C93" s="94" t="s">
        <v>207</v>
      </c>
      <c r="D93" s="95" t="s">
        <v>208</v>
      </c>
      <c r="E93" s="96" t="s">
        <v>96</v>
      </c>
      <c r="F93" s="97">
        <v>957.46</v>
      </c>
      <c r="G93" s="207">
        <v>257.77999999999997</v>
      </c>
      <c r="H93" s="97">
        <v>246814</v>
      </c>
      <c r="L93" s="232"/>
      <c r="M93" s="233"/>
    </row>
    <row r="94" spans="1:13" ht="30" x14ac:dyDescent="0.25">
      <c r="A94" s="92" t="s">
        <v>209</v>
      </c>
      <c r="B94" s="92" t="s">
        <v>63</v>
      </c>
      <c r="C94" s="94" t="s">
        <v>210</v>
      </c>
      <c r="D94" s="95" t="s">
        <v>211</v>
      </c>
      <c r="E94" s="96" t="s">
        <v>96</v>
      </c>
      <c r="F94" s="97">
        <v>287.24</v>
      </c>
      <c r="G94" s="207">
        <v>13.15</v>
      </c>
      <c r="H94" s="97">
        <v>3777.2</v>
      </c>
      <c r="L94" s="236"/>
      <c r="M94" s="239"/>
    </row>
    <row r="95" spans="1:13" ht="30" x14ac:dyDescent="0.25">
      <c r="A95" s="92" t="s">
        <v>212</v>
      </c>
      <c r="B95" s="92" t="s">
        <v>63</v>
      </c>
      <c r="C95" s="94" t="s">
        <v>213</v>
      </c>
      <c r="D95" s="95" t="s">
        <v>214</v>
      </c>
      <c r="E95" s="96" t="s">
        <v>96</v>
      </c>
      <c r="F95" s="97">
        <v>841.01</v>
      </c>
      <c r="G95" s="207">
        <v>315.64999999999998</v>
      </c>
      <c r="H95" s="97">
        <v>265464.8</v>
      </c>
      <c r="L95" s="232"/>
      <c r="M95" s="233"/>
    </row>
    <row r="96" spans="1:13" ht="30" x14ac:dyDescent="0.25">
      <c r="A96" s="92" t="s">
        <v>215</v>
      </c>
      <c r="B96" s="92" t="s">
        <v>63</v>
      </c>
      <c r="C96" s="94" t="s">
        <v>216</v>
      </c>
      <c r="D96" s="95" t="s">
        <v>217</v>
      </c>
      <c r="E96" s="96" t="s">
        <v>96</v>
      </c>
      <c r="F96" s="97">
        <v>252.3</v>
      </c>
      <c r="G96" s="207">
        <v>15.78</v>
      </c>
      <c r="H96" s="97">
        <v>3981.3</v>
      </c>
      <c r="L96" s="237"/>
      <c r="M96" s="238"/>
    </row>
    <row r="97" spans="1:13" ht="45" x14ac:dyDescent="0.25">
      <c r="A97" s="92" t="s">
        <v>218</v>
      </c>
      <c r="B97" s="92" t="s">
        <v>63</v>
      </c>
      <c r="C97" s="94" t="s">
        <v>219</v>
      </c>
      <c r="D97" s="95" t="s">
        <v>220</v>
      </c>
      <c r="E97" s="96" t="s">
        <v>96</v>
      </c>
      <c r="F97" s="97">
        <v>207.96</v>
      </c>
      <c r="G97" s="207">
        <v>837.79</v>
      </c>
      <c r="H97" s="97">
        <v>174226.8</v>
      </c>
      <c r="L97" s="236"/>
      <c r="M97" s="239"/>
    </row>
    <row r="98" spans="1:13" ht="45" x14ac:dyDescent="0.25">
      <c r="A98" s="92" t="s">
        <v>173</v>
      </c>
      <c r="B98" s="92" t="s">
        <v>63</v>
      </c>
      <c r="C98" s="94" t="s">
        <v>221</v>
      </c>
      <c r="D98" s="95" t="s">
        <v>222</v>
      </c>
      <c r="E98" s="96" t="s">
        <v>96</v>
      </c>
      <c r="F98" s="97">
        <v>643.66999999999996</v>
      </c>
      <c r="G98" s="207">
        <v>1116.6199999999999</v>
      </c>
      <c r="H98" s="97">
        <v>718734.8</v>
      </c>
      <c r="L98" s="236"/>
      <c r="M98" s="239"/>
    </row>
    <row r="99" spans="1:13" ht="30" x14ac:dyDescent="0.25">
      <c r="A99" s="92" t="s">
        <v>223</v>
      </c>
      <c r="B99" s="92" t="s">
        <v>63</v>
      </c>
      <c r="C99" s="94" t="s">
        <v>224</v>
      </c>
      <c r="D99" s="95" t="s">
        <v>225</v>
      </c>
      <c r="E99" s="96" t="s">
        <v>66</v>
      </c>
      <c r="F99" s="97">
        <v>5724.21</v>
      </c>
      <c r="G99" s="207">
        <v>99.96</v>
      </c>
      <c r="H99" s="97">
        <v>572192</v>
      </c>
      <c r="L99" s="240"/>
      <c r="M99" s="241"/>
    </row>
    <row r="100" spans="1:13" ht="30" x14ac:dyDescent="0.25">
      <c r="A100" s="92" t="s">
        <v>226</v>
      </c>
      <c r="B100" s="92" t="s">
        <v>63</v>
      </c>
      <c r="C100" s="94" t="s">
        <v>227</v>
      </c>
      <c r="D100" s="95" t="s">
        <v>228</v>
      </c>
      <c r="E100" s="96" t="s">
        <v>66</v>
      </c>
      <c r="F100" s="97">
        <v>5724.21</v>
      </c>
      <c r="G100" s="207">
        <v>149.94</v>
      </c>
      <c r="H100" s="97">
        <v>858288</v>
      </c>
      <c r="L100" s="236"/>
      <c r="M100" s="239"/>
    </row>
    <row r="101" spans="1:13" ht="30" x14ac:dyDescent="0.25">
      <c r="A101" s="154" t="s">
        <v>229</v>
      </c>
      <c r="B101" s="154" t="s">
        <v>63</v>
      </c>
      <c r="C101" s="155" t="s">
        <v>147</v>
      </c>
      <c r="D101" s="156" t="s">
        <v>148</v>
      </c>
      <c r="E101" s="157" t="s">
        <v>96</v>
      </c>
      <c r="F101" s="158">
        <v>4463.5200000000004</v>
      </c>
      <c r="G101" s="159">
        <v>98.39</v>
      </c>
      <c r="H101" s="158">
        <v>439165.7</v>
      </c>
      <c r="L101" s="236"/>
      <c r="M101" s="239"/>
    </row>
    <row r="102" spans="1:13" ht="30" x14ac:dyDescent="0.25">
      <c r="A102" s="92" t="s">
        <v>230</v>
      </c>
      <c r="B102" s="92" t="s">
        <v>63</v>
      </c>
      <c r="C102" s="94" t="s">
        <v>231</v>
      </c>
      <c r="D102" s="95" t="s">
        <v>232</v>
      </c>
      <c r="E102" s="96" t="s">
        <v>96</v>
      </c>
      <c r="F102" s="97">
        <v>836.69</v>
      </c>
      <c r="G102" s="207">
        <v>247.39</v>
      </c>
      <c r="H102" s="97">
        <v>206988.7</v>
      </c>
      <c r="L102" s="240"/>
      <c r="M102" s="241"/>
    </row>
    <row r="103" spans="1:13" ht="30" x14ac:dyDescent="0.25">
      <c r="A103" s="154" t="s">
        <v>233</v>
      </c>
      <c r="B103" s="154" t="s">
        <v>63</v>
      </c>
      <c r="C103" s="155" t="s">
        <v>234</v>
      </c>
      <c r="D103" s="156" t="s">
        <v>235</v>
      </c>
      <c r="E103" s="157" t="s">
        <v>96</v>
      </c>
      <c r="F103" s="158">
        <v>836.69</v>
      </c>
      <c r="G103" s="159">
        <v>44.72</v>
      </c>
      <c r="H103" s="158">
        <v>37416.800000000003</v>
      </c>
      <c r="L103" s="236"/>
      <c r="M103" s="239"/>
    </row>
    <row r="104" spans="1:13" ht="30" x14ac:dyDescent="0.25">
      <c r="A104" s="92" t="s">
        <v>236</v>
      </c>
      <c r="B104" s="92" t="s">
        <v>63</v>
      </c>
      <c r="C104" s="94" t="s">
        <v>237</v>
      </c>
      <c r="D104" s="95" t="s">
        <v>238</v>
      </c>
      <c r="E104" s="96" t="s">
        <v>96</v>
      </c>
      <c r="F104" s="97">
        <v>836.69</v>
      </c>
      <c r="G104" s="207">
        <v>11.84</v>
      </c>
      <c r="H104" s="97">
        <v>9906.4</v>
      </c>
      <c r="L104" s="236"/>
      <c r="M104" s="239"/>
    </row>
    <row r="105" spans="1:13" ht="30" x14ac:dyDescent="0.25">
      <c r="A105" s="92" t="s">
        <v>239</v>
      </c>
      <c r="B105" s="92" t="s">
        <v>63</v>
      </c>
      <c r="C105" s="94" t="s">
        <v>240</v>
      </c>
      <c r="D105" s="95" t="s">
        <v>241</v>
      </c>
      <c r="E105" s="96" t="s">
        <v>85</v>
      </c>
      <c r="F105" s="97">
        <v>1673.38</v>
      </c>
      <c r="G105" s="207">
        <v>116</v>
      </c>
      <c r="H105" s="97">
        <v>194112.1</v>
      </c>
      <c r="L105" s="236"/>
      <c r="M105" s="239"/>
    </row>
    <row r="106" spans="1:13" ht="30" x14ac:dyDescent="0.25">
      <c r="A106" s="154" t="s">
        <v>242</v>
      </c>
      <c r="B106" s="154" t="s">
        <v>63</v>
      </c>
      <c r="C106" s="155" t="s">
        <v>243</v>
      </c>
      <c r="D106" s="156" t="s">
        <v>244</v>
      </c>
      <c r="E106" s="157" t="s">
        <v>96</v>
      </c>
      <c r="F106" s="158">
        <v>1813.42</v>
      </c>
      <c r="G106" s="159">
        <v>143.36000000000001</v>
      </c>
      <c r="H106" s="158">
        <v>259971.9</v>
      </c>
      <c r="L106" s="236"/>
      <c r="M106" s="239"/>
    </row>
    <row r="107" spans="1:13" ht="30" x14ac:dyDescent="0.25">
      <c r="A107" s="92" t="s">
        <v>245</v>
      </c>
      <c r="B107" s="92" t="s">
        <v>63</v>
      </c>
      <c r="C107" s="94" t="s">
        <v>246</v>
      </c>
      <c r="D107" s="95" t="s">
        <v>247</v>
      </c>
      <c r="E107" s="96" t="s">
        <v>96</v>
      </c>
      <c r="F107" s="97">
        <v>643.04</v>
      </c>
      <c r="G107" s="207">
        <v>318.27999999999997</v>
      </c>
      <c r="H107" s="97">
        <v>204666.8</v>
      </c>
      <c r="L107" s="232"/>
      <c r="M107" s="233"/>
    </row>
    <row r="108" spans="1:13" x14ac:dyDescent="0.25">
      <c r="A108" s="181" t="s">
        <v>248</v>
      </c>
      <c r="B108" s="181" t="s">
        <v>157</v>
      </c>
      <c r="C108" s="183" t="s">
        <v>249</v>
      </c>
      <c r="D108" s="184" t="s">
        <v>250</v>
      </c>
      <c r="E108" s="185" t="s">
        <v>85</v>
      </c>
      <c r="F108" s="186">
        <v>1286.08</v>
      </c>
      <c r="G108" s="220">
        <v>172.71</v>
      </c>
      <c r="H108" s="186">
        <v>222118.9</v>
      </c>
      <c r="L108" s="232"/>
      <c r="M108" s="233"/>
    </row>
    <row r="109" spans="1:13" ht="30" x14ac:dyDescent="0.25">
      <c r="A109" s="92" t="s">
        <v>251</v>
      </c>
      <c r="B109" s="92" t="s">
        <v>63</v>
      </c>
      <c r="C109" s="94" t="s">
        <v>252</v>
      </c>
      <c r="D109" s="95" t="s">
        <v>253</v>
      </c>
      <c r="E109" s="96" t="s">
        <v>66</v>
      </c>
      <c r="F109" s="97">
        <v>175.45</v>
      </c>
      <c r="G109" s="98">
        <v>53.92</v>
      </c>
      <c r="H109" s="97">
        <v>9460.2999999999993</v>
      </c>
      <c r="L109" s="236"/>
      <c r="M109" s="239"/>
    </row>
    <row r="110" spans="1:13" ht="30" x14ac:dyDescent="0.25">
      <c r="A110" s="92" t="s">
        <v>146</v>
      </c>
      <c r="B110" s="92" t="s">
        <v>63</v>
      </c>
      <c r="C110" s="94" t="s">
        <v>254</v>
      </c>
      <c r="D110" s="95" t="s">
        <v>255</v>
      </c>
      <c r="E110" s="96" t="s">
        <v>66</v>
      </c>
      <c r="F110" s="97">
        <v>124.85</v>
      </c>
      <c r="G110" s="98">
        <v>26.3</v>
      </c>
      <c r="H110" s="97">
        <v>3283.6</v>
      </c>
      <c r="L110" s="236"/>
      <c r="M110" s="239"/>
    </row>
    <row r="111" spans="1:13" x14ac:dyDescent="0.25">
      <c r="A111" s="72"/>
      <c r="B111" s="88" t="s">
        <v>48</v>
      </c>
      <c r="C111" s="77" t="s">
        <v>184</v>
      </c>
      <c r="D111" s="77" t="s">
        <v>256</v>
      </c>
      <c r="E111" s="72"/>
      <c r="F111" s="72"/>
      <c r="G111" s="75"/>
      <c r="H111" s="78"/>
      <c r="L111" s="236"/>
      <c r="M111" s="239"/>
    </row>
    <row r="112" spans="1:13" ht="30" x14ac:dyDescent="0.25">
      <c r="A112" s="92" t="s">
        <v>257</v>
      </c>
      <c r="B112" s="92" t="s">
        <v>63</v>
      </c>
      <c r="C112" s="94" t="s">
        <v>258</v>
      </c>
      <c r="D112" s="95" t="s">
        <v>259</v>
      </c>
      <c r="E112" s="96" t="s">
        <v>114</v>
      </c>
      <c r="F112" s="97">
        <v>1298</v>
      </c>
      <c r="G112" s="98">
        <v>32.880000000000003</v>
      </c>
      <c r="H112" s="97">
        <v>42678.2</v>
      </c>
      <c r="L112" s="232"/>
      <c r="M112" s="233"/>
    </row>
    <row r="113" spans="1:13" ht="30" x14ac:dyDescent="0.25">
      <c r="A113" s="92" t="s">
        <v>260</v>
      </c>
      <c r="B113" s="92" t="s">
        <v>63</v>
      </c>
      <c r="C113" s="94" t="s">
        <v>261</v>
      </c>
      <c r="D113" s="95" t="s">
        <v>262</v>
      </c>
      <c r="E113" s="96" t="s">
        <v>114</v>
      </c>
      <c r="F113" s="97">
        <v>1298</v>
      </c>
      <c r="G113" s="207">
        <v>6.58</v>
      </c>
      <c r="H113" s="97">
        <v>8540.7999999999993</v>
      </c>
      <c r="L113" s="232"/>
      <c r="M113" s="233"/>
    </row>
    <row r="114" spans="1:13" x14ac:dyDescent="0.25">
      <c r="A114" s="72"/>
      <c r="B114" s="88" t="s">
        <v>48</v>
      </c>
      <c r="C114" s="77" t="s">
        <v>62</v>
      </c>
      <c r="D114" s="77" t="s">
        <v>263</v>
      </c>
      <c r="E114" s="72"/>
      <c r="F114" s="72"/>
      <c r="G114" s="75"/>
      <c r="H114" s="78"/>
      <c r="L114" s="232"/>
      <c r="M114" s="233"/>
    </row>
    <row r="115" spans="1:13" ht="30" x14ac:dyDescent="0.25">
      <c r="A115" s="92" t="s">
        <v>264</v>
      </c>
      <c r="B115" s="92" t="s">
        <v>63</v>
      </c>
      <c r="C115" s="94" t="s">
        <v>265</v>
      </c>
      <c r="D115" s="95" t="s">
        <v>266</v>
      </c>
      <c r="E115" s="96" t="s">
        <v>96</v>
      </c>
      <c r="F115" s="97">
        <v>142.78</v>
      </c>
      <c r="G115" s="207">
        <v>644.70000000000005</v>
      </c>
      <c r="H115" s="97">
        <v>92050.3</v>
      </c>
      <c r="L115" s="236"/>
      <c r="M115" s="239"/>
    </row>
    <row r="116" spans="1:13" ht="30" x14ac:dyDescent="0.25">
      <c r="A116" s="92" t="s">
        <v>267</v>
      </c>
      <c r="B116" s="92" t="s">
        <v>63</v>
      </c>
      <c r="C116" s="94" t="s">
        <v>268</v>
      </c>
      <c r="D116" s="95" t="s">
        <v>269</v>
      </c>
      <c r="E116" s="96" t="s">
        <v>96</v>
      </c>
      <c r="F116" s="97">
        <v>15.6</v>
      </c>
      <c r="G116" s="207">
        <v>3188.13</v>
      </c>
      <c r="H116" s="97">
        <v>49734.8</v>
      </c>
      <c r="L116" s="236"/>
      <c r="M116" s="239"/>
    </row>
    <row r="117" spans="1:13" x14ac:dyDescent="0.25">
      <c r="A117" s="72"/>
      <c r="B117" s="88" t="s">
        <v>48</v>
      </c>
      <c r="C117" s="77" t="s">
        <v>72</v>
      </c>
      <c r="D117" s="77" t="s">
        <v>73</v>
      </c>
      <c r="E117" s="72"/>
      <c r="F117" s="72"/>
      <c r="G117" s="75"/>
      <c r="H117" s="78"/>
      <c r="L117" s="236"/>
      <c r="M117" s="239"/>
    </row>
    <row r="118" spans="1:13" ht="30" x14ac:dyDescent="0.25">
      <c r="A118" s="214" t="s">
        <v>270</v>
      </c>
      <c r="B118" s="214" t="s">
        <v>63</v>
      </c>
      <c r="C118" s="215" t="s">
        <v>150</v>
      </c>
      <c r="D118" s="216" t="s">
        <v>151</v>
      </c>
      <c r="E118" s="217" t="s">
        <v>66</v>
      </c>
      <c r="F118" s="218">
        <v>182.05</v>
      </c>
      <c r="G118" s="219">
        <v>155.66999999999999</v>
      </c>
      <c r="H118" s="218">
        <v>28339.7</v>
      </c>
      <c r="L118" s="232"/>
      <c r="M118" s="239"/>
    </row>
    <row r="119" spans="1:13" ht="30" x14ac:dyDescent="0.25">
      <c r="A119" s="92" t="s">
        <v>179</v>
      </c>
      <c r="B119" s="92" t="s">
        <v>63</v>
      </c>
      <c r="C119" s="94" t="s">
        <v>271</v>
      </c>
      <c r="D119" s="95" t="s">
        <v>272</v>
      </c>
      <c r="E119" s="96" t="s">
        <v>66</v>
      </c>
      <c r="F119" s="97">
        <v>9.9</v>
      </c>
      <c r="G119" s="207">
        <v>206.97</v>
      </c>
      <c r="H119" s="97">
        <v>2049</v>
      </c>
      <c r="L119" s="236"/>
      <c r="M119" s="239"/>
    </row>
    <row r="120" spans="1:13" ht="30" x14ac:dyDescent="0.25">
      <c r="A120" s="154" t="s">
        <v>273</v>
      </c>
      <c r="B120" s="154" t="s">
        <v>63</v>
      </c>
      <c r="C120" s="155" t="s">
        <v>274</v>
      </c>
      <c r="D120" s="156" t="s">
        <v>275</v>
      </c>
      <c r="E120" s="157" t="s">
        <v>66</v>
      </c>
      <c r="F120" s="158">
        <v>935.55</v>
      </c>
      <c r="G120" s="159">
        <v>302.54000000000002</v>
      </c>
      <c r="H120" s="158">
        <v>283041.3</v>
      </c>
      <c r="L120" s="236"/>
      <c r="M120" s="239"/>
    </row>
    <row r="121" spans="1:13" ht="30" x14ac:dyDescent="0.25">
      <c r="A121" s="214" t="s">
        <v>134</v>
      </c>
      <c r="B121" s="214" t="s">
        <v>63</v>
      </c>
      <c r="C121" s="215" t="s">
        <v>276</v>
      </c>
      <c r="D121" s="216" t="s">
        <v>277</v>
      </c>
      <c r="E121" s="217" t="s">
        <v>66</v>
      </c>
      <c r="F121" s="218">
        <v>160.05000000000001</v>
      </c>
      <c r="G121" s="219">
        <v>86.36</v>
      </c>
      <c r="H121" s="218">
        <v>13821.9</v>
      </c>
      <c r="L121" s="232"/>
      <c r="M121" s="233"/>
    </row>
    <row r="122" spans="1:13" ht="30" x14ac:dyDescent="0.25">
      <c r="A122" s="92" t="s">
        <v>101</v>
      </c>
      <c r="B122" s="92" t="s">
        <v>63</v>
      </c>
      <c r="C122" s="94" t="s">
        <v>278</v>
      </c>
      <c r="D122" s="95" t="s">
        <v>279</v>
      </c>
      <c r="E122" s="96" t="s">
        <v>66</v>
      </c>
      <c r="F122" s="97">
        <v>9.9</v>
      </c>
      <c r="G122" s="207">
        <v>412.07</v>
      </c>
      <c r="H122" s="97">
        <v>4079.5</v>
      </c>
      <c r="L122" s="236"/>
      <c r="M122" s="239"/>
    </row>
    <row r="123" spans="1:13" ht="30" x14ac:dyDescent="0.25">
      <c r="A123" s="154" t="s">
        <v>104</v>
      </c>
      <c r="B123" s="154" t="s">
        <v>63</v>
      </c>
      <c r="C123" s="155" t="s">
        <v>102</v>
      </c>
      <c r="D123" s="156" t="s">
        <v>103</v>
      </c>
      <c r="E123" s="157" t="s">
        <v>66</v>
      </c>
      <c r="F123" s="158">
        <v>785.4</v>
      </c>
      <c r="G123" s="159">
        <v>14.18</v>
      </c>
      <c r="H123" s="158">
        <v>11137</v>
      </c>
      <c r="L123" s="236"/>
      <c r="M123" s="239"/>
    </row>
    <row r="124" spans="1:13" ht="30" x14ac:dyDescent="0.25">
      <c r="A124" s="148" t="s">
        <v>105</v>
      </c>
      <c r="B124" s="148" t="s">
        <v>63</v>
      </c>
      <c r="C124" s="149" t="s">
        <v>75</v>
      </c>
      <c r="D124" s="150" t="s">
        <v>76</v>
      </c>
      <c r="E124" s="151" t="s">
        <v>66</v>
      </c>
      <c r="F124" s="152">
        <v>1499.4</v>
      </c>
      <c r="G124" s="153">
        <v>20.62</v>
      </c>
      <c r="H124" s="152">
        <v>30917.599999999999</v>
      </c>
      <c r="L124" s="232"/>
      <c r="M124" s="233"/>
    </row>
    <row r="125" spans="1:13" ht="30" x14ac:dyDescent="0.25">
      <c r="A125" s="148" t="s">
        <v>106</v>
      </c>
      <c r="B125" s="148" t="s">
        <v>63</v>
      </c>
      <c r="C125" s="149" t="s">
        <v>78</v>
      </c>
      <c r="D125" s="150" t="s">
        <v>79</v>
      </c>
      <c r="E125" s="151" t="s">
        <v>66</v>
      </c>
      <c r="F125" s="152">
        <v>1499.4</v>
      </c>
      <c r="G125" s="153">
        <v>396.71</v>
      </c>
      <c r="H125" s="152">
        <v>594827</v>
      </c>
      <c r="L125" s="236"/>
      <c r="M125" s="233"/>
    </row>
    <row r="126" spans="1:13" ht="30" x14ac:dyDescent="0.25">
      <c r="A126" s="154" t="s">
        <v>124</v>
      </c>
      <c r="B126" s="154" t="s">
        <v>63</v>
      </c>
      <c r="C126" s="155" t="s">
        <v>107</v>
      </c>
      <c r="D126" s="156" t="s">
        <v>108</v>
      </c>
      <c r="E126" s="157" t="s">
        <v>66</v>
      </c>
      <c r="F126" s="158">
        <v>785.4</v>
      </c>
      <c r="G126" s="159">
        <v>559.51</v>
      </c>
      <c r="H126" s="158">
        <v>439439.2</v>
      </c>
      <c r="L126" s="232"/>
      <c r="M126" s="233"/>
    </row>
    <row r="127" spans="1:13" ht="30" x14ac:dyDescent="0.25">
      <c r="A127" s="208" t="s">
        <v>174</v>
      </c>
      <c r="B127" s="208" t="s">
        <v>63</v>
      </c>
      <c r="C127" s="209" t="s">
        <v>154</v>
      </c>
      <c r="D127" s="210" t="s">
        <v>155</v>
      </c>
      <c r="E127" s="211" t="s">
        <v>66</v>
      </c>
      <c r="F127" s="212">
        <v>182.05</v>
      </c>
      <c r="G127" s="213">
        <v>745.05</v>
      </c>
      <c r="H127" s="212">
        <v>135636.4</v>
      </c>
      <c r="L127" s="236">
        <v>-27.500000000000004</v>
      </c>
      <c r="M127" s="239">
        <v>-20488.875</v>
      </c>
    </row>
    <row r="128" spans="1:13" x14ac:dyDescent="0.25">
      <c r="A128" s="221" t="s">
        <v>280</v>
      </c>
      <c r="B128" s="221" t="s">
        <v>157</v>
      </c>
      <c r="C128" s="222" t="s">
        <v>158</v>
      </c>
      <c r="D128" s="223" t="s">
        <v>159</v>
      </c>
      <c r="E128" s="224" t="s">
        <v>85</v>
      </c>
      <c r="F128" s="225">
        <v>36.409999999999997</v>
      </c>
      <c r="G128" s="226">
        <v>3763.5</v>
      </c>
      <c r="H128" s="225">
        <v>137029</v>
      </c>
      <c r="L128" s="236">
        <v>-5.5000000000000009</v>
      </c>
      <c r="M128" s="239">
        <v>-20699.250000000004</v>
      </c>
    </row>
    <row r="129" spans="1:13" x14ac:dyDescent="0.25">
      <c r="A129" s="72"/>
      <c r="B129" s="88" t="s">
        <v>48</v>
      </c>
      <c r="C129" s="77" t="s">
        <v>123</v>
      </c>
      <c r="D129" s="77" t="s">
        <v>281</v>
      </c>
      <c r="E129" s="72"/>
      <c r="F129" s="72"/>
      <c r="G129" s="75"/>
      <c r="H129" s="78"/>
      <c r="L129" s="236"/>
      <c r="M129" s="239"/>
    </row>
    <row r="130" spans="1:13" ht="30" x14ac:dyDescent="0.25">
      <c r="A130" s="92" t="s">
        <v>282</v>
      </c>
      <c r="B130" s="92" t="s">
        <v>63</v>
      </c>
      <c r="C130" s="94" t="s">
        <v>283</v>
      </c>
      <c r="D130" s="95" t="s">
        <v>284</v>
      </c>
      <c r="E130" s="96" t="s">
        <v>114</v>
      </c>
      <c r="F130" s="97">
        <v>1298</v>
      </c>
      <c r="G130" s="207">
        <v>368.26</v>
      </c>
      <c r="H130" s="97">
        <v>478001.5</v>
      </c>
      <c r="L130" s="236"/>
      <c r="M130" s="239"/>
    </row>
    <row r="131" spans="1:13" ht="22.5" x14ac:dyDescent="0.25">
      <c r="A131" s="181" t="s">
        <v>285</v>
      </c>
      <c r="B131" s="181" t="s">
        <v>157</v>
      </c>
      <c r="C131" s="183" t="s">
        <v>286</v>
      </c>
      <c r="D131" s="184" t="s">
        <v>287</v>
      </c>
      <c r="E131" s="185" t="s">
        <v>114</v>
      </c>
      <c r="F131" s="186">
        <v>1298</v>
      </c>
      <c r="G131" s="220">
        <v>460.33</v>
      </c>
      <c r="H131" s="186">
        <v>597508.30000000005</v>
      </c>
      <c r="L131" s="240"/>
      <c r="M131" s="241"/>
    </row>
    <row r="132" spans="1:13" ht="30" x14ac:dyDescent="0.25">
      <c r="A132" s="92" t="s">
        <v>74</v>
      </c>
      <c r="B132" s="92" t="s">
        <v>63</v>
      </c>
      <c r="C132" s="94" t="s">
        <v>288</v>
      </c>
      <c r="D132" s="95" t="s">
        <v>289</v>
      </c>
      <c r="E132" s="96" t="s">
        <v>290</v>
      </c>
      <c r="F132" s="97">
        <v>310</v>
      </c>
      <c r="G132" s="207">
        <v>159.13999999999999</v>
      </c>
      <c r="H132" s="97">
        <v>49333.4</v>
      </c>
      <c r="L132" s="232"/>
      <c r="M132" s="233"/>
    </row>
    <row r="133" spans="1:13" x14ac:dyDescent="0.25">
      <c r="A133" s="181" t="s">
        <v>77</v>
      </c>
      <c r="B133" s="181" t="s">
        <v>157</v>
      </c>
      <c r="C133" s="183" t="s">
        <v>291</v>
      </c>
      <c r="D133" s="184" t="s">
        <v>292</v>
      </c>
      <c r="E133" s="185" t="s">
        <v>290</v>
      </c>
      <c r="F133" s="186">
        <v>49.74</v>
      </c>
      <c r="G133" s="220">
        <v>437.97</v>
      </c>
      <c r="H133" s="186">
        <v>21784.6</v>
      </c>
      <c r="L133" s="232"/>
      <c r="M133" s="233"/>
    </row>
    <row r="134" spans="1:13" x14ac:dyDescent="0.25">
      <c r="A134" s="181" t="s">
        <v>293</v>
      </c>
      <c r="B134" s="181" t="s">
        <v>157</v>
      </c>
      <c r="C134" s="183" t="s">
        <v>294</v>
      </c>
      <c r="D134" s="184" t="s">
        <v>295</v>
      </c>
      <c r="E134" s="185" t="s">
        <v>290</v>
      </c>
      <c r="F134" s="186">
        <v>264.92</v>
      </c>
      <c r="G134" s="220">
        <v>135.47</v>
      </c>
      <c r="H134" s="186">
        <v>35888.699999999997</v>
      </c>
      <c r="L134" s="232"/>
      <c r="M134" s="233"/>
    </row>
    <row r="135" spans="1:13" ht="75" x14ac:dyDescent="0.25">
      <c r="A135" s="92" t="s">
        <v>296</v>
      </c>
      <c r="B135" s="92" t="s">
        <v>63</v>
      </c>
      <c r="C135" s="94" t="s">
        <v>297</v>
      </c>
      <c r="D135" s="95" t="s">
        <v>298</v>
      </c>
      <c r="E135" s="96" t="s">
        <v>114</v>
      </c>
      <c r="F135" s="97">
        <v>1298</v>
      </c>
      <c r="G135" s="207">
        <v>56.03</v>
      </c>
      <c r="H135" s="97">
        <v>72726.899999999994</v>
      </c>
      <c r="L135" s="232"/>
      <c r="M135" s="233"/>
    </row>
    <row r="136" spans="1:13" ht="30" x14ac:dyDescent="0.25">
      <c r="A136" s="92" t="s">
        <v>149</v>
      </c>
      <c r="B136" s="92" t="s">
        <v>63</v>
      </c>
      <c r="C136" s="94" t="s">
        <v>299</v>
      </c>
      <c r="D136" s="95" t="s">
        <v>300</v>
      </c>
      <c r="E136" s="96" t="s">
        <v>114</v>
      </c>
      <c r="F136" s="97">
        <v>1298</v>
      </c>
      <c r="G136" s="207">
        <v>9.2100000000000009</v>
      </c>
      <c r="H136" s="97">
        <v>11954.6</v>
      </c>
      <c r="L136" s="232"/>
      <c r="M136" s="233"/>
    </row>
    <row r="137" spans="1:13" x14ac:dyDescent="0.25">
      <c r="A137" s="72"/>
      <c r="B137" s="88" t="s">
        <v>48</v>
      </c>
      <c r="C137" s="77" t="s">
        <v>109</v>
      </c>
      <c r="D137" s="77" t="s">
        <v>110</v>
      </c>
      <c r="E137" s="72"/>
      <c r="F137" s="72"/>
      <c r="G137" s="75"/>
      <c r="H137" s="78"/>
      <c r="L137" s="232"/>
      <c r="M137" s="233"/>
    </row>
    <row r="138" spans="1:13" ht="30" x14ac:dyDescent="0.25">
      <c r="A138" s="154" t="s">
        <v>125</v>
      </c>
      <c r="B138" s="154" t="s">
        <v>63</v>
      </c>
      <c r="C138" s="155" t="s">
        <v>112</v>
      </c>
      <c r="D138" s="156" t="s">
        <v>113</v>
      </c>
      <c r="E138" s="157" t="s">
        <v>114</v>
      </c>
      <c r="F138" s="158">
        <v>1428</v>
      </c>
      <c r="G138" s="159">
        <v>87.65</v>
      </c>
      <c r="H138" s="158">
        <v>125164.2</v>
      </c>
      <c r="L138" s="232"/>
      <c r="M138" s="233"/>
    </row>
    <row r="139" spans="1:13" ht="30" x14ac:dyDescent="0.25">
      <c r="A139" s="154" t="s">
        <v>126</v>
      </c>
      <c r="B139" s="154" t="s">
        <v>63</v>
      </c>
      <c r="C139" s="155" t="s">
        <v>116</v>
      </c>
      <c r="D139" s="156" t="s">
        <v>117</v>
      </c>
      <c r="E139" s="157" t="s">
        <v>114</v>
      </c>
      <c r="F139" s="158">
        <v>1428</v>
      </c>
      <c r="G139" s="159">
        <v>72.34</v>
      </c>
      <c r="H139" s="158">
        <v>103301.5</v>
      </c>
      <c r="L139" s="232"/>
      <c r="M139" s="233"/>
    </row>
    <row r="140" spans="1:13" x14ac:dyDescent="0.25">
      <c r="A140" s="72"/>
      <c r="B140" s="88" t="s">
        <v>48</v>
      </c>
      <c r="C140" s="77" t="s">
        <v>80</v>
      </c>
      <c r="D140" s="77" t="s">
        <v>81</v>
      </c>
      <c r="E140" s="72"/>
      <c r="F140" s="72"/>
      <c r="G140" s="75"/>
      <c r="H140" s="78"/>
      <c r="L140" s="234"/>
      <c r="M140" s="235"/>
    </row>
    <row r="141" spans="1:13" ht="30" x14ac:dyDescent="0.25">
      <c r="A141" s="148" t="s">
        <v>127</v>
      </c>
      <c r="B141" s="148" t="s">
        <v>63</v>
      </c>
      <c r="C141" s="149" t="s">
        <v>83</v>
      </c>
      <c r="D141" s="150" t="s">
        <v>84</v>
      </c>
      <c r="E141" s="151" t="s">
        <v>85</v>
      </c>
      <c r="F141" s="152">
        <v>1048.51</v>
      </c>
      <c r="G141" s="153">
        <v>153.18</v>
      </c>
      <c r="H141" s="152">
        <v>160610.79999999999</v>
      </c>
      <c r="L141" s="236"/>
      <c r="M141" s="233"/>
    </row>
    <row r="142" spans="1:13" ht="30" x14ac:dyDescent="0.25">
      <c r="A142" s="148" t="s">
        <v>128</v>
      </c>
      <c r="B142" s="148" t="s">
        <v>63</v>
      </c>
      <c r="C142" s="149" t="s">
        <v>129</v>
      </c>
      <c r="D142" s="150" t="s">
        <v>130</v>
      </c>
      <c r="E142" s="151" t="s">
        <v>85</v>
      </c>
      <c r="F142" s="152">
        <v>6.19</v>
      </c>
      <c r="G142" s="153">
        <v>154.66999999999999</v>
      </c>
      <c r="H142" s="152">
        <v>957.4</v>
      </c>
      <c r="L142" s="242"/>
      <c r="M142" s="233"/>
    </row>
    <row r="143" spans="1:13" ht="30" x14ac:dyDescent="0.25">
      <c r="A143" s="92" t="s">
        <v>301</v>
      </c>
      <c r="B143" s="92" t="s">
        <v>63</v>
      </c>
      <c r="C143" s="94" t="s">
        <v>87</v>
      </c>
      <c r="D143" s="95" t="s">
        <v>88</v>
      </c>
      <c r="E143" s="96" t="s">
        <v>85</v>
      </c>
      <c r="F143" s="97">
        <v>392.98</v>
      </c>
      <c r="G143" s="207">
        <v>257.77999999999997</v>
      </c>
      <c r="H143" s="97">
        <v>101302.39999999999</v>
      </c>
      <c r="L143" s="236"/>
      <c r="M143" s="239"/>
    </row>
    <row r="144" spans="1:13" ht="30" x14ac:dyDescent="0.25">
      <c r="A144" s="92" t="s">
        <v>302</v>
      </c>
      <c r="B144" s="92" t="s">
        <v>63</v>
      </c>
      <c r="C144" s="94" t="s">
        <v>168</v>
      </c>
      <c r="D144" s="95" t="s">
        <v>169</v>
      </c>
      <c r="E144" s="96" t="s">
        <v>85</v>
      </c>
      <c r="F144" s="97">
        <v>649.34</v>
      </c>
      <c r="G144" s="207">
        <v>154.66999999999999</v>
      </c>
      <c r="H144" s="97">
        <v>100433.4</v>
      </c>
      <c r="L144" s="232"/>
      <c r="M144" s="233"/>
    </row>
    <row r="145" spans="1:13" x14ac:dyDescent="0.25">
      <c r="A145" s="72"/>
      <c r="B145" s="88" t="s">
        <v>48</v>
      </c>
      <c r="C145" s="77" t="s">
        <v>303</v>
      </c>
      <c r="D145" s="77" t="s">
        <v>304</v>
      </c>
      <c r="E145" s="72"/>
      <c r="F145" s="72"/>
      <c r="G145" s="75"/>
      <c r="H145" s="78"/>
      <c r="L145" s="243"/>
      <c r="M145" s="244"/>
    </row>
    <row r="146" spans="1:13" ht="30" x14ac:dyDescent="0.25">
      <c r="A146" s="92" t="s">
        <v>305</v>
      </c>
      <c r="B146" s="92" t="s">
        <v>63</v>
      </c>
      <c r="C146" s="94" t="s">
        <v>306</v>
      </c>
      <c r="D146" s="95" t="s">
        <v>307</v>
      </c>
      <c r="E146" s="96" t="s">
        <v>85</v>
      </c>
      <c r="F146" s="97">
        <v>2396.6799999999998</v>
      </c>
      <c r="G146" s="207">
        <v>114.42</v>
      </c>
      <c r="H146" s="97">
        <v>274228.09999999998</v>
      </c>
      <c r="L146" s="243"/>
      <c r="M146" s="244"/>
    </row>
    <row r="147" spans="1:13" x14ac:dyDescent="0.25">
      <c r="L147" s="243"/>
      <c r="M147" s="244"/>
    </row>
    <row r="149" spans="1:13" ht="15.75" thickBot="1" x14ac:dyDescent="0.3"/>
    <row r="150" spans="1:13" ht="16.5" thickBot="1" x14ac:dyDescent="0.3">
      <c r="B150" s="358"/>
      <c r="C150" s="359"/>
      <c r="D150" s="360" t="s">
        <v>528</v>
      </c>
      <c r="E150" s="361"/>
      <c r="F150" s="362"/>
      <c r="G150" s="363"/>
      <c r="H150" s="364"/>
      <c r="I150" s="365"/>
      <c r="J150" s="365"/>
      <c r="K150" s="366">
        <f>M77+M62+M41+M13</f>
        <v>1820453.5209099995</v>
      </c>
      <c r="L150" s="421"/>
    </row>
    <row r="151" spans="1:13" ht="15.75" x14ac:dyDescent="0.25">
      <c r="B151" s="369"/>
      <c r="C151" s="370"/>
      <c r="D151" s="371"/>
      <c r="E151" s="372"/>
      <c r="F151" s="373"/>
      <c r="G151" s="374"/>
      <c r="H151" s="375"/>
      <c r="I151" s="376"/>
      <c r="J151" s="377"/>
      <c r="K151" s="378"/>
      <c r="L151" s="379"/>
    </row>
    <row r="152" spans="1:13" ht="15.75" x14ac:dyDescent="0.25">
      <c r="B152" s="381"/>
      <c r="C152" s="31" t="s">
        <v>18</v>
      </c>
      <c r="D152" s="35" t="s">
        <v>529</v>
      </c>
      <c r="E152" s="381"/>
      <c r="F152" s="382"/>
      <c r="G152" s="381"/>
      <c r="H152" s="35" t="s">
        <v>20</v>
      </c>
      <c r="I152" s="376"/>
      <c r="J152" s="383"/>
      <c r="K152" s="378"/>
      <c r="L152" s="36" t="s">
        <v>22</v>
      </c>
    </row>
    <row r="153" spans="1:13" ht="15.75" x14ac:dyDescent="0.25">
      <c r="B153" s="381"/>
      <c r="C153" s="31"/>
      <c r="D153" s="35"/>
      <c r="E153" s="381"/>
      <c r="F153" s="382"/>
      <c r="G153" s="381"/>
      <c r="H153" s="384"/>
      <c r="I153" s="376"/>
      <c r="J153" s="383"/>
      <c r="K153" s="378"/>
      <c r="L153" s="36"/>
    </row>
    <row r="154" spans="1:13" ht="15.75" x14ac:dyDescent="0.25">
      <c r="B154" s="381"/>
      <c r="C154" s="31" t="s">
        <v>19</v>
      </c>
      <c r="D154" s="31" t="s">
        <v>530</v>
      </c>
      <c r="E154" s="381"/>
      <c r="F154" s="382"/>
      <c r="G154" s="381"/>
      <c r="H154" s="31" t="s">
        <v>19</v>
      </c>
      <c r="I154" s="376"/>
      <c r="J154" s="383"/>
      <c r="K154" s="378"/>
      <c r="L154" s="31" t="s">
        <v>19</v>
      </c>
    </row>
  </sheetData>
  <mergeCells count="6">
    <mergeCell ref="L11:M11"/>
    <mergeCell ref="L74:M74"/>
    <mergeCell ref="L75:M75"/>
    <mergeCell ref="L60:M60"/>
    <mergeCell ref="L63:M63"/>
    <mergeCell ref="L39:M39"/>
  </mergeCells>
  <conditionalFormatting sqref="Z1:AF1 A1:X1">
    <cfRule type="cellIs" dxfId="23" priority="3" stopIfTrue="1" operator="lessThan">
      <formula>0</formula>
    </cfRule>
  </conditionalFormatting>
  <conditionalFormatting sqref="E3">
    <cfRule type="cellIs" dxfId="22" priority="1" stopIfTrue="1" operator="lessThan">
      <formula>0</formula>
    </cfRule>
  </conditionalFormatting>
  <pageMargins left="0.7" right="0.7" top="0.78740157499999996" bottom="0.78740157499999996" header="0.3" footer="0.3"/>
  <pageSetup paperSize="9" scale="70" fitToHeight="0" orientation="landscape" r:id="rId1"/>
  <rowBreaks count="2" manualBreakCount="2">
    <brk id="34" max="12" man="1"/>
    <brk id="66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8E77C-9CA2-452A-9350-A6104429DF06}">
  <dimension ref="A1:AF176"/>
  <sheetViews>
    <sheetView view="pageBreakPreview" zoomScale="60" zoomScaleNormal="100" workbookViewId="0">
      <selection activeCell="A174" sqref="A174:J176"/>
    </sheetView>
  </sheetViews>
  <sheetFormatPr defaultRowHeight="15" x14ac:dyDescent="0.25"/>
  <cols>
    <col min="3" max="3" width="10.5703125" bestFit="1" customWidth="1"/>
    <col min="4" max="4" width="43.5703125" customWidth="1"/>
    <col min="6" max="7" width="9.28515625" bestFit="1" customWidth="1"/>
    <col min="8" max="8" width="18" bestFit="1" customWidth="1"/>
  </cols>
  <sheetData>
    <row r="1" spans="1:32" s="42" customFormat="1" ht="12.75" x14ac:dyDescent="0.2">
      <c r="A1" s="38"/>
      <c r="B1" s="128"/>
      <c r="C1" s="38"/>
      <c r="D1" s="38"/>
      <c r="E1" s="39"/>
      <c r="F1" s="38"/>
      <c r="G1" s="40"/>
      <c r="H1" s="38"/>
      <c r="I1" s="38"/>
      <c r="J1" s="38"/>
      <c r="K1" s="38"/>
      <c r="L1" s="38"/>
      <c r="M1" s="41"/>
      <c r="N1" s="41"/>
      <c r="O1" s="41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</row>
    <row r="2" spans="1:32" s="42" customFormat="1" ht="15.75" x14ac:dyDescent="0.25">
      <c r="A2" s="4"/>
      <c r="B2" s="129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5"/>
      <c r="M2" s="47"/>
      <c r="N2" s="48"/>
      <c r="O2" s="47"/>
      <c r="P2" s="45"/>
      <c r="Q2" s="46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9"/>
      <c r="AD2" s="50"/>
      <c r="AE2" s="51"/>
      <c r="AF2" s="52"/>
    </row>
    <row r="3" spans="1:32" s="42" customFormat="1" ht="15.75" x14ac:dyDescent="0.25">
      <c r="A3" s="4"/>
      <c r="B3" s="129"/>
      <c r="D3" s="2" t="s">
        <v>2</v>
      </c>
      <c r="E3" s="3" t="s">
        <v>547</v>
      </c>
      <c r="F3" s="5"/>
      <c r="G3" s="44"/>
      <c r="H3" s="45"/>
      <c r="I3" s="45"/>
      <c r="J3" s="45"/>
      <c r="K3" s="46"/>
      <c r="L3" s="45"/>
      <c r="M3" s="47"/>
      <c r="N3" s="48"/>
      <c r="O3" s="47"/>
      <c r="P3" s="45"/>
      <c r="Q3" s="46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9"/>
      <c r="AD3" s="50"/>
      <c r="AE3" s="51"/>
      <c r="AF3" s="52"/>
    </row>
    <row r="4" spans="1:32" s="42" customFormat="1" ht="15.75" x14ac:dyDescent="0.25">
      <c r="A4" s="4"/>
      <c r="B4" s="129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5"/>
      <c r="M4" s="47"/>
      <c r="N4" s="48"/>
      <c r="O4" s="47"/>
      <c r="P4" s="45"/>
      <c r="Q4" s="46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9"/>
      <c r="AD4" s="50"/>
      <c r="AE4" s="51"/>
      <c r="AF4" s="52"/>
    </row>
    <row r="5" spans="1:32" s="42" customFormat="1" ht="15.75" x14ac:dyDescent="0.25">
      <c r="A5" s="43"/>
      <c r="B5" s="129"/>
      <c r="D5" s="7" t="s">
        <v>5</v>
      </c>
      <c r="E5" s="9" t="s">
        <v>6</v>
      </c>
      <c r="F5" s="53"/>
      <c r="G5" s="44"/>
      <c r="H5" s="54"/>
      <c r="I5" s="54"/>
      <c r="J5" s="54"/>
      <c r="K5" s="55"/>
      <c r="L5" s="54"/>
      <c r="M5" s="56"/>
      <c r="N5" s="57"/>
      <c r="O5" s="56"/>
      <c r="P5" s="54"/>
      <c r="Q5" s="55"/>
      <c r="R5" s="54"/>
      <c r="S5" s="55"/>
      <c r="T5" s="54"/>
      <c r="U5" s="55"/>
      <c r="V5" s="54"/>
      <c r="W5" s="55"/>
      <c r="X5" s="54"/>
      <c r="Y5" s="55"/>
      <c r="Z5" s="54"/>
      <c r="AA5" s="55"/>
      <c r="AB5" s="54"/>
      <c r="AC5" s="58"/>
      <c r="AD5" s="59"/>
      <c r="AE5" s="60"/>
      <c r="AF5" s="61"/>
    </row>
    <row r="6" spans="1:32" s="42" customFormat="1" ht="15.75" x14ac:dyDescent="0.25">
      <c r="A6" s="43"/>
      <c r="B6" s="129"/>
      <c r="D6" s="2" t="s">
        <v>7</v>
      </c>
      <c r="E6" s="12" t="s">
        <v>8</v>
      </c>
      <c r="F6" s="53"/>
      <c r="G6" s="44"/>
      <c r="H6" s="54"/>
      <c r="I6" s="54"/>
      <c r="J6" s="54"/>
      <c r="K6" s="55"/>
      <c r="L6" s="54"/>
      <c r="M6" s="56"/>
      <c r="N6" s="57"/>
      <c r="O6" s="56"/>
      <c r="P6" s="54"/>
      <c r="Q6" s="55"/>
      <c r="R6" s="54"/>
      <c r="S6" s="55"/>
      <c r="T6" s="54"/>
      <c r="U6" s="55"/>
      <c r="V6" s="54"/>
      <c r="W6" s="55"/>
      <c r="X6" s="54"/>
      <c r="Y6" s="55"/>
      <c r="Z6" s="54"/>
      <c r="AA6" s="55"/>
      <c r="AB6" s="54"/>
      <c r="AC6" s="58"/>
      <c r="AD6" s="59"/>
      <c r="AE6" s="60"/>
      <c r="AF6" s="61"/>
    </row>
    <row r="7" spans="1:32" s="42" customFormat="1" ht="15.75" x14ac:dyDescent="0.25">
      <c r="A7" s="43"/>
      <c r="B7" s="129"/>
      <c r="D7" s="2" t="s">
        <v>9</v>
      </c>
      <c r="E7" s="12" t="s">
        <v>10</v>
      </c>
      <c r="F7" s="53"/>
      <c r="G7" s="44"/>
      <c r="H7" s="54"/>
      <c r="I7" s="54"/>
      <c r="J7" s="54"/>
      <c r="K7" s="55"/>
      <c r="L7" s="54"/>
      <c r="M7" s="56"/>
      <c r="N7" s="57"/>
      <c r="O7" s="56"/>
      <c r="P7" s="54"/>
      <c r="Q7" s="55"/>
      <c r="R7" s="54"/>
      <c r="S7" s="55"/>
      <c r="T7" s="54"/>
      <c r="U7" s="55"/>
      <c r="V7" s="54"/>
      <c r="W7" s="55"/>
      <c r="X7" s="54"/>
      <c r="Y7" s="55"/>
      <c r="Z7" s="54"/>
      <c r="AA7" s="55"/>
      <c r="AB7" s="54"/>
      <c r="AC7" s="58"/>
      <c r="AD7" s="59"/>
      <c r="AE7" s="60"/>
      <c r="AF7" s="61"/>
    </row>
    <row r="9" spans="1:32" ht="18" x14ac:dyDescent="0.25">
      <c r="B9" s="282" t="s">
        <v>354</v>
      </c>
    </row>
    <row r="13" spans="1:32" ht="15.75" x14ac:dyDescent="0.25">
      <c r="A13" s="247"/>
      <c r="B13" s="247"/>
      <c r="C13" s="247"/>
      <c r="D13" s="248" t="s">
        <v>309</v>
      </c>
      <c r="E13" s="247"/>
      <c r="F13" s="247"/>
      <c r="G13" s="247"/>
      <c r="H13" s="247"/>
      <c r="I13" s="247"/>
    </row>
    <row r="14" spans="1:32" x14ac:dyDescent="0.25">
      <c r="A14" s="249" t="s">
        <v>310</v>
      </c>
      <c r="B14" s="250"/>
      <c r="C14" s="249" t="s">
        <v>311</v>
      </c>
      <c r="D14" s="249" t="s">
        <v>312</v>
      </c>
      <c r="E14" s="249" t="s">
        <v>43</v>
      </c>
      <c r="F14" s="251" t="s">
        <v>44</v>
      </c>
      <c r="G14" s="252" t="s">
        <v>313</v>
      </c>
      <c r="H14" s="253" t="s">
        <v>314</v>
      </c>
      <c r="I14" s="250"/>
    </row>
    <row r="15" spans="1:32" x14ac:dyDescent="0.25">
      <c r="A15" s="254"/>
      <c r="B15" s="255" t="s">
        <v>48</v>
      </c>
      <c r="C15" s="255" t="s">
        <v>315</v>
      </c>
      <c r="D15" s="255" t="s">
        <v>316</v>
      </c>
      <c r="E15" s="254"/>
      <c r="F15" s="254"/>
      <c r="G15" s="256"/>
      <c r="H15" s="254">
        <f>SUM(H17:H30)</f>
        <v>1320949.9495999999</v>
      </c>
      <c r="I15" s="257"/>
    </row>
    <row r="16" spans="1:32" x14ac:dyDescent="0.25">
      <c r="A16" s="254"/>
      <c r="B16" s="255"/>
      <c r="C16" s="255"/>
      <c r="D16" s="255" t="s">
        <v>317</v>
      </c>
      <c r="E16" s="254"/>
      <c r="F16" s="254"/>
      <c r="G16" s="256"/>
      <c r="H16" s="254"/>
      <c r="I16" s="257"/>
    </row>
    <row r="17" spans="1:9" ht="24" x14ac:dyDescent="0.25">
      <c r="A17" s="258"/>
      <c r="B17" s="258" t="s">
        <v>63</v>
      </c>
      <c r="C17" s="259" t="s">
        <v>318</v>
      </c>
      <c r="D17" s="259" t="s">
        <v>319</v>
      </c>
      <c r="E17" s="260" t="s">
        <v>66</v>
      </c>
      <c r="F17" s="261">
        <f>+F26*1.05</f>
        <v>1035.3</v>
      </c>
      <c r="G17" s="262">
        <v>236</v>
      </c>
      <c r="H17" s="263">
        <f t="shared" ref="H17:H25" si="0">+F17*G17</f>
        <v>244330.8</v>
      </c>
      <c r="I17" s="261" t="s">
        <v>320</v>
      </c>
    </row>
    <row r="18" spans="1:9" ht="24" x14ac:dyDescent="0.25">
      <c r="A18" s="258"/>
      <c r="B18" s="258" t="s">
        <v>63</v>
      </c>
      <c r="C18" s="259" t="s">
        <v>321</v>
      </c>
      <c r="D18" s="259" t="s">
        <v>322</v>
      </c>
      <c r="E18" s="260" t="s">
        <v>66</v>
      </c>
      <c r="F18" s="261">
        <f>+F17</f>
        <v>1035.3</v>
      </c>
      <c r="G18" s="262">
        <v>115</v>
      </c>
      <c r="H18" s="263">
        <f t="shared" si="0"/>
        <v>119059.5</v>
      </c>
      <c r="I18" s="261" t="s">
        <v>320</v>
      </c>
    </row>
    <row r="19" spans="1:9" ht="24" x14ac:dyDescent="0.25">
      <c r="A19" s="258"/>
      <c r="B19" s="258" t="s">
        <v>63</v>
      </c>
      <c r="C19" s="259" t="s">
        <v>323</v>
      </c>
      <c r="D19" s="259" t="s">
        <v>324</v>
      </c>
      <c r="E19" s="260" t="s">
        <v>290</v>
      </c>
      <c r="F19" s="261">
        <v>10</v>
      </c>
      <c r="G19" s="262">
        <v>1870</v>
      </c>
      <c r="H19" s="263">
        <f t="shared" si="0"/>
        <v>18700</v>
      </c>
      <c r="I19" s="261" t="s">
        <v>320</v>
      </c>
    </row>
    <row r="20" spans="1:9" ht="24" x14ac:dyDescent="0.25">
      <c r="A20" s="258"/>
      <c r="B20" s="258" t="s">
        <v>63</v>
      </c>
      <c r="C20" s="259" t="s">
        <v>325</v>
      </c>
      <c r="D20" s="259" t="s">
        <v>326</v>
      </c>
      <c r="E20" s="260" t="s">
        <v>290</v>
      </c>
      <c r="F20" s="261">
        <v>6</v>
      </c>
      <c r="G20" s="262">
        <v>1050</v>
      </c>
      <c r="H20" s="263">
        <f t="shared" si="0"/>
        <v>6300</v>
      </c>
      <c r="I20" s="261" t="s">
        <v>320</v>
      </c>
    </row>
    <row r="21" spans="1:9" x14ac:dyDescent="0.25">
      <c r="A21" s="258"/>
      <c r="B21" s="258" t="s">
        <v>63</v>
      </c>
      <c r="C21" s="259" t="s">
        <v>327</v>
      </c>
      <c r="D21" s="259" t="s">
        <v>328</v>
      </c>
      <c r="E21" s="260" t="s">
        <v>66</v>
      </c>
      <c r="F21" s="261">
        <f>+F18</f>
        <v>1035.3</v>
      </c>
      <c r="G21" s="262">
        <v>6.22</v>
      </c>
      <c r="H21" s="263">
        <f t="shared" si="0"/>
        <v>6439.5659999999998</v>
      </c>
      <c r="I21" s="261" t="s">
        <v>320</v>
      </c>
    </row>
    <row r="22" spans="1:9" x14ac:dyDescent="0.25">
      <c r="A22" s="264"/>
      <c r="B22" s="264" t="s">
        <v>157</v>
      </c>
      <c r="C22" s="265" t="s">
        <v>329</v>
      </c>
      <c r="D22" s="265" t="s">
        <v>330</v>
      </c>
      <c r="E22" s="266" t="s">
        <v>85</v>
      </c>
      <c r="F22" s="261">
        <f>F18*25/1000</f>
        <v>25.8825</v>
      </c>
      <c r="G22" s="262">
        <v>2700</v>
      </c>
      <c r="H22" s="267">
        <f t="shared" si="0"/>
        <v>69882.75</v>
      </c>
      <c r="I22" s="261" t="s">
        <v>320</v>
      </c>
    </row>
    <row r="23" spans="1:9" x14ac:dyDescent="0.25">
      <c r="A23" s="264"/>
      <c r="B23" s="264"/>
      <c r="C23" s="265"/>
      <c r="D23" s="255" t="s">
        <v>331</v>
      </c>
      <c r="E23" s="266"/>
      <c r="F23" s="261"/>
      <c r="G23" s="262"/>
      <c r="H23" s="267"/>
      <c r="I23" s="261"/>
    </row>
    <row r="24" spans="1:9" ht="24" x14ac:dyDescent="0.25">
      <c r="A24" s="258" t="s">
        <v>198</v>
      </c>
      <c r="B24" s="258" t="s">
        <v>63</v>
      </c>
      <c r="C24" s="259" t="s">
        <v>64</v>
      </c>
      <c r="D24" s="259" t="s">
        <v>65</v>
      </c>
      <c r="E24" s="260" t="s">
        <v>66</v>
      </c>
      <c r="F24" s="261">
        <f>120*4</f>
        <v>480</v>
      </c>
      <c r="G24" s="262">
        <v>55.24</v>
      </c>
      <c r="H24" s="263">
        <f t="shared" si="0"/>
        <v>26515.200000000001</v>
      </c>
      <c r="I24" s="261"/>
    </row>
    <row r="25" spans="1:9" ht="24" x14ac:dyDescent="0.25">
      <c r="A25" s="258" t="s">
        <v>166</v>
      </c>
      <c r="B25" s="258" t="s">
        <v>63</v>
      </c>
      <c r="C25" s="259" t="s">
        <v>83</v>
      </c>
      <c r="D25" s="259" t="s">
        <v>84</v>
      </c>
      <c r="E25" s="260" t="s">
        <v>85</v>
      </c>
      <c r="F25" s="261">
        <f>+F24*0.128</f>
        <v>61.44</v>
      </c>
      <c r="G25" s="262">
        <v>151.66</v>
      </c>
      <c r="H25" s="263">
        <f t="shared" si="0"/>
        <v>9317.9903999999988</v>
      </c>
      <c r="I25" s="261"/>
    </row>
    <row r="26" spans="1:9" ht="24" x14ac:dyDescent="0.25">
      <c r="A26" s="268" t="s">
        <v>77</v>
      </c>
      <c r="B26" s="258"/>
      <c r="C26" s="269" t="s">
        <v>332</v>
      </c>
      <c r="D26" s="259" t="s">
        <v>333</v>
      </c>
      <c r="E26" s="260" t="s">
        <v>66</v>
      </c>
      <c r="F26" s="261">
        <f>986</f>
        <v>986</v>
      </c>
      <c r="G26" s="262">
        <v>338.17</v>
      </c>
      <c r="H26" s="263">
        <f>+F26*G26</f>
        <v>333435.62</v>
      </c>
      <c r="I26" s="261" t="s">
        <v>334</v>
      </c>
    </row>
    <row r="27" spans="1:9" ht="24" x14ac:dyDescent="0.25">
      <c r="A27" s="268" t="s">
        <v>125</v>
      </c>
      <c r="B27" s="258"/>
      <c r="C27" s="247" t="s">
        <v>335</v>
      </c>
      <c r="D27" s="259" t="s">
        <v>336</v>
      </c>
      <c r="E27" s="260" t="s">
        <v>66</v>
      </c>
      <c r="F27" s="261">
        <f>+F26</f>
        <v>986</v>
      </c>
      <c r="G27" s="262">
        <v>443.02</v>
      </c>
      <c r="H27" s="263">
        <f t="shared" ref="H27:H30" si="1">+F27*G27</f>
        <v>436817.72</v>
      </c>
      <c r="I27" s="261" t="s">
        <v>334</v>
      </c>
    </row>
    <row r="28" spans="1:9" ht="24" x14ac:dyDescent="0.25">
      <c r="A28" s="268" t="s">
        <v>127</v>
      </c>
      <c r="B28" s="258" t="s">
        <v>63</v>
      </c>
      <c r="C28" s="270" t="s">
        <v>102</v>
      </c>
      <c r="D28" s="259" t="s">
        <v>103</v>
      </c>
      <c r="E28" s="260" t="s">
        <v>66</v>
      </c>
      <c r="F28" s="261">
        <f>+F27</f>
        <v>986</v>
      </c>
      <c r="G28" s="262">
        <v>14.18</v>
      </c>
      <c r="H28" s="263">
        <f t="shared" si="1"/>
        <v>13981.48</v>
      </c>
      <c r="I28" s="261" t="str">
        <f>+I17</f>
        <v>ÚRS 2021-08</v>
      </c>
    </row>
    <row r="29" spans="1:9" ht="24" x14ac:dyDescent="0.25">
      <c r="A29" s="268" t="s">
        <v>128</v>
      </c>
      <c r="B29" s="258" t="s">
        <v>63</v>
      </c>
      <c r="C29" s="270" t="s">
        <v>75</v>
      </c>
      <c r="D29" s="259" t="s">
        <v>76</v>
      </c>
      <c r="E29" s="260" t="s">
        <v>66</v>
      </c>
      <c r="F29" s="261">
        <f>+F28</f>
        <v>986</v>
      </c>
      <c r="G29" s="262">
        <v>20.62</v>
      </c>
      <c r="H29" s="263">
        <f t="shared" si="1"/>
        <v>20331.32</v>
      </c>
      <c r="I29" s="261" t="str">
        <f>+I18</f>
        <v>ÚRS 2021-08</v>
      </c>
    </row>
    <row r="30" spans="1:9" ht="24" x14ac:dyDescent="0.25">
      <c r="A30" s="271" t="s">
        <v>337</v>
      </c>
      <c r="B30" s="271" t="s">
        <v>63</v>
      </c>
      <c r="C30" s="272" t="s">
        <v>87</v>
      </c>
      <c r="D30" s="273" t="s">
        <v>88</v>
      </c>
      <c r="E30" s="274" t="s">
        <v>85</v>
      </c>
      <c r="F30" s="275">
        <f>+F25</f>
        <v>61.44</v>
      </c>
      <c r="G30" s="262">
        <v>257.77999999999997</v>
      </c>
      <c r="H30" s="263">
        <f t="shared" si="1"/>
        <v>15838.003199999997</v>
      </c>
      <c r="I30" s="275"/>
    </row>
    <row r="31" spans="1:9" x14ac:dyDescent="0.25">
      <c r="A31" s="247"/>
      <c r="B31" s="247"/>
      <c r="C31" s="247"/>
      <c r="D31" s="247"/>
      <c r="E31" s="247"/>
      <c r="F31" s="247"/>
      <c r="G31" s="247"/>
      <c r="H31" s="247"/>
      <c r="I31" s="247"/>
    </row>
    <row r="32" spans="1:9" ht="15.75" x14ac:dyDescent="0.25">
      <c r="A32" s="247"/>
      <c r="B32" s="247"/>
      <c r="C32" s="247"/>
      <c r="D32" s="248" t="s">
        <v>338</v>
      </c>
      <c r="E32" s="247"/>
      <c r="F32" s="247"/>
      <c r="G32" s="247"/>
      <c r="H32" s="247"/>
      <c r="I32" s="247"/>
    </row>
    <row r="33" spans="1:9" x14ac:dyDescent="0.25">
      <c r="A33" s="249" t="s">
        <v>310</v>
      </c>
      <c r="B33" s="250"/>
      <c r="C33" s="249" t="s">
        <v>311</v>
      </c>
      <c r="D33" s="249" t="s">
        <v>312</v>
      </c>
      <c r="E33" s="249" t="s">
        <v>43</v>
      </c>
      <c r="F33" s="251" t="s">
        <v>44</v>
      </c>
      <c r="G33" s="252" t="s">
        <v>313</v>
      </c>
      <c r="H33" s="253" t="s">
        <v>314</v>
      </c>
      <c r="I33" s="250"/>
    </row>
    <row r="34" spans="1:9" x14ac:dyDescent="0.25">
      <c r="A34" s="254"/>
      <c r="B34" s="255" t="s">
        <v>48</v>
      </c>
      <c r="C34" s="255" t="s">
        <v>315</v>
      </c>
      <c r="D34" s="255" t="s">
        <v>316</v>
      </c>
      <c r="E34" s="254"/>
      <c r="F34" s="254"/>
      <c r="G34" s="256"/>
      <c r="H34" s="254">
        <f>SUM(H36:H49)</f>
        <v>740774.32053333335</v>
      </c>
      <c r="I34" s="257"/>
    </row>
    <row r="35" spans="1:9" x14ac:dyDescent="0.25">
      <c r="A35" s="254"/>
      <c r="B35" s="255"/>
      <c r="C35" s="255"/>
      <c r="D35" s="255" t="s">
        <v>317</v>
      </c>
      <c r="E35" s="254"/>
      <c r="F35" s="254"/>
      <c r="G35" s="256"/>
      <c r="H35" s="254"/>
      <c r="I35" s="257"/>
    </row>
    <row r="36" spans="1:9" ht="24" x14ac:dyDescent="0.25">
      <c r="A36" s="258"/>
      <c r="B36" s="258" t="s">
        <v>63</v>
      </c>
      <c r="C36" s="259" t="s">
        <v>318</v>
      </c>
      <c r="D36" s="259" t="s">
        <v>319</v>
      </c>
      <c r="E36" s="260" t="s">
        <v>66</v>
      </c>
      <c r="F36" s="261">
        <v>616.36</v>
      </c>
      <c r="G36" s="262">
        <v>236</v>
      </c>
      <c r="H36" s="263">
        <f t="shared" ref="H36:H44" si="2">+F36*G36</f>
        <v>145460.96</v>
      </c>
      <c r="I36" s="261" t="s">
        <v>320</v>
      </c>
    </row>
    <row r="37" spans="1:9" ht="24" x14ac:dyDescent="0.25">
      <c r="A37" s="258"/>
      <c r="B37" s="258" t="s">
        <v>63</v>
      </c>
      <c r="C37" s="259" t="s">
        <v>321</v>
      </c>
      <c r="D37" s="259" t="s">
        <v>322</v>
      </c>
      <c r="E37" s="260" t="s">
        <v>66</v>
      </c>
      <c r="F37" s="261">
        <v>616.36</v>
      </c>
      <c r="G37" s="262">
        <v>115</v>
      </c>
      <c r="H37" s="263">
        <f t="shared" si="2"/>
        <v>70881.400000000009</v>
      </c>
      <c r="I37" s="261" t="s">
        <v>320</v>
      </c>
    </row>
    <row r="38" spans="1:9" ht="24" x14ac:dyDescent="0.25">
      <c r="A38" s="258"/>
      <c r="B38" s="258" t="s">
        <v>63</v>
      </c>
      <c r="C38" s="259" t="s">
        <v>323</v>
      </c>
      <c r="D38" s="259" t="s">
        <v>324</v>
      </c>
      <c r="E38" s="260" t="s">
        <v>290</v>
      </c>
      <c r="F38" s="261">
        <v>0</v>
      </c>
      <c r="G38" s="262">
        <v>1870</v>
      </c>
      <c r="H38" s="263">
        <f t="shared" si="2"/>
        <v>0</v>
      </c>
      <c r="I38" s="261" t="s">
        <v>320</v>
      </c>
    </row>
    <row r="39" spans="1:9" ht="24" x14ac:dyDescent="0.25">
      <c r="A39" s="258"/>
      <c r="B39" s="258" t="s">
        <v>63</v>
      </c>
      <c r="C39" s="259" t="s">
        <v>325</v>
      </c>
      <c r="D39" s="259" t="s">
        <v>326</v>
      </c>
      <c r="E39" s="260" t="s">
        <v>290</v>
      </c>
      <c r="F39" s="261">
        <v>0</v>
      </c>
      <c r="G39" s="262">
        <v>1050</v>
      </c>
      <c r="H39" s="263">
        <f t="shared" si="2"/>
        <v>0</v>
      </c>
      <c r="I39" s="261" t="s">
        <v>320</v>
      </c>
    </row>
    <row r="40" spans="1:9" x14ac:dyDescent="0.25">
      <c r="A40" s="258"/>
      <c r="B40" s="258" t="s">
        <v>63</v>
      </c>
      <c r="C40" s="259" t="s">
        <v>327</v>
      </c>
      <c r="D40" s="259" t="s">
        <v>328</v>
      </c>
      <c r="E40" s="260" t="s">
        <v>66</v>
      </c>
      <c r="F40" s="261">
        <v>616.36</v>
      </c>
      <c r="G40" s="262">
        <v>6.22</v>
      </c>
      <c r="H40" s="263">
        <f t="shared" si="2"/>
        <v>3833.7592</v>
      </c>
      <c r="I40" s="261" t="s">
        <v>320</v>
      </c>
    </row>
    <row r="41" spans="1:9" x14ac:dyDescent="0.25">
      <c r="A41" s="264"/>
      <c r="B41" s="264" t="s">
        <v>157</v>
      </c>
      <c r="C41" s="265" t="s">
        <v>329</v>
      </c>
      <c r="D41" s="265" t="s">
        <v>330</v>
      </c>
      <c r="E41" s="266" t="s">
        <v>85</v>
      </c>
      <c r="F41" s="261">
        <v>15.409000000000001</v>
      </c>
      <c r="G41" s="262">
        <v>2700</v>
      </c>
      <c r="H41" s="267">
        <f t="shared" si="2"/>
        <v>41604.300000000003</v>
      </c>
      <c r="I41" s="261" t="s">
        <v>320</v>
      </c>
    </row>
    <row r="42" spans="1:9" x14ac:dyDescent="0.25">
      <c r="A42" s="264"/>
      <c r="B42" s="264"/>
      <c r="C42" s="265"/>
      <c r="D42" s="255" t="s">
        <v>331</v>
      </c>
      <c r="E42" s="266"/>
      <c r="F42" s="261"/>
      <c r="G42" s="262"/>
      <c r="H42" s="267"/>
      <c r="I42" s="261"/>
    </row>
    <row r="43" spans="1:9" ht="24" x14ac:dyDescent="0.25">
      <c r="A43" s="258" t="s">
        <v>198</v>
      </c>
      <c r="B43" s="258" t="s">
        <v>63</v>
      </c>
      <c r="C43" s="259" t="s">
        <v>64</v>
      </c>
      <c r="D43" s="259" t="s">
        <v>65</v>
      </c>
      <c r="E43" s="260" t="s">
        <v>66</v>
      </c>
      <c r="F43" s="261">
        <v>0</v>
      </c>
      <c r="G43" s="262">
        <v>55.24</v>
      </c>
      <c r="H43" s="263">
        <f t="shared" si="2"/>
        <v>0</v>
      </c>
      <c r="I43" s="261"/>
    </row>
    <row r="44" spans="1:9" ht="24" x14ac:dyDescent="0.25">
      <c r="A44" s="258" t="s">
        <v>166</v>
      </c>
      <c r="B44" s="258" t="s">
        <v>63</v>
      </c>
      <c r="C44" s="259" t="s">
        <v>83</v>
      </c>
      <c r="D44" s="259" t="s">
        <v>84</v>
      </c>
      <c r="E44" s="260" t="s">
        <v>85</v>
      </c>
      <c r="F44" s="261">
        <v>0</v>
      </c>
      <c r="G44" s="262">
        <v>151.66</v>
      </c>
      <c r="H44" s="263">
        <f t="shared" si="2"/>
        <v>0</v>
      </c>
      <c r="I44" s="261"/>
    </row>
    <row r="45" spans="1:9" ht="24" x14ac:dyDescent="0.25">
      <c r="A45" s="268" t="s">
        <v>77</v>
      </c>
      <c r="B45" s="258"/>
      <c r="C45" s="269" t="s">
        <v>332</v>
      </c>
      <c r="D45" s="259" t="s">
        <v>333</v>
      </c>
      <c r="E45" s="260" t="s">
        <v>66</v>
      </c>
      <c r="F45" s="261">
        <v>587.00952380952378</v>
      </c>
      <c r="G45" s="262">
        <v>338.17</v>
      </c>
      <c r="H45" s="263">
        <f>+F45*G45</f>
        <v>198509.01066666667</v>
      </c>
      <c r="I45" s="261" t="s">
        <v>334</v>
      </c>
    </row>
    <row r="46" spans="1:9" ht="24" x14ac:dyDescent="0.25">
      <c r="A46" s="268" t="s">
        <v>125</v>
      </c>
      <c r="B46" s="258"/>
      <c r="C46" s="247" t="s">
        <v>335</v>
      </c>
      <c r="D46" s="259" t="s">
        <v>336</v>
      </c>
      <c r="E46" s="260" t="s">
        <v>66</v>
      </c>
      <c r="F46" s="261">
        <v>587.00952380952378</v>
      </c>
      <c r="G46" s="262">
        <v>443.02</v>
      </c>
      <c r="H46" s="263">
        <f t="shared" ref="H46:H49" si="3">+F46*G46</f>
        <v>260056.95923809521</v>
      </c>
      <c r="I46" s="261" t="s">
        <v>334</v>
      </c>
    </row>
    <row r="47" spans="1:9" ht="24" x14ac:dyDescent="0.25">
      <c r="A47" s="268" t="s">
        <v>127</v>
      </c>
      <c r="B47" s="258" t="s">
        <v>63</v>
      </c>
      <c r="C47" s="270" t="s">
        <v>102</v>
      </c>
      <c r="D47" s="259" t="s">
        <v>103</v>
      </c>
      <c r="E47" s="260" t="s">
        <v>66</v>
      </c>
      <c r="F47" s="261">
        <v>587.00952380952378</v>
      </c>
      <c r="G47" s="262">
        <v>14.18</v>
      </c>
      <c r="H47" s="263">
        <f t="shared" si="3"/>
        <v>8323.7950476190472</v>
      </c>
      <c r="I47" s="261" t="str">
        <f>+I36</f>
        <v>ÚRS 2021-08</v>
      </c>
    </row>
    <row r="48" spans="1:9" ht="24" x14ac:dyDescent="0.25">
      <c r="A48" s="268" t="s">
        <v>128</v>
      </c>
      <c r="B48" s="258" t="s">
        <v>63</v>
      </c>
      <c r="C48" s="270" t="s">
        <v>75</v>
      </c>
      <c r="D48" s="259" t="s">
        <v>76</v>
      </c>
      <c r="E48" s="260" t="s">
        <v>66</v>
      </c>
      <c r="F48" s="261">
        <v>587.00952380952378</v>
      </c>
      <c r="G48" s="262">
        <v>20.62</v>
      </c>
      <c r="H48" s="263">
        <f t="shared" si="3"/>
        <v>12104.136380952381</v>
      </c>
      <c r="I48" s="261" t="str">
        <f>+I37</f>
        <v>ÚRS 2021-08</v>
      </c>
    </row>
    <row r="49" spans="1:9" ht="24" x14ac:dyDescent="0.25">
      <c r="A49" s="271" t="s">
        <v>337</v>
      </c>
      <c r="B49" s="271" t="s">
        <v>63</v>
      </c>
      <c r="C49" s="272" t="s">
        <v>87</v>
      </c>
      <c r="D49" s="273" t="s">
        <v>88</v>
      </c>
      <c r="E49" s="274" t="s">
        <v>85</v>
      </c>
      <c r="F49" s="275">
        <v>0</v>
      </c>
      <c r="G49" s="262">
        <v>257.77999999999997</v>
      </c>
      <c r="H49" s="263">
        <f t="shared" si="3"/>
        <v>0</v>
      </c>
      <c r="I49" s="275"/>
    </row>
    <row r="51" spans="1:9" ht="15.75" x14ac:dyDescent="0.25">
      <c r="A51" s="247"/>
      <c r="B51" s="247"/>
      <c r="C51" s="247"/>
      <c r="D51" s="248" t="s">
        <v>339</v>
      </c>
      <c r="E51" s="247"/>
      <c r="F51" s="247"/>
      <c r="G51" s="247"/>
      <c r="H51" s="247"/>
      <c r="I51" s="247"/>
    </row>
    <row r="52" spans="1:9" x14ac:dyDescent="0.25">
      <c r="A52" s="249" t="s">
        <v>310</v>
      </c>
      <c r="B52" s="250"/>
      <c r="C52" s="249" t="s">
        <v>311</v>
      </c>
      <c r="D52" s="249" t="s">
        <v>312</v>
      </c>
      <c r="E52" s="249" t="s">
        <v>43</v>
      </c>
      <c r="F52" s="251" t="s">
        <v>44</v>
      </c>
      <c r="G52" s="252" t="s">
        <v>313</v>
      </c>
      <c r="H52" s="253" t="s">
        <v>314</v>
      </c>
      <c r="I52" s="250"/>
    </row>
    <row r="53" spans="1:9" x14ac:dyDescent="0.25">
      <c r="A53" s="254"/>
      <c r="B53" s="255" t="s">
        <v>48</v>
      </c>
      <c r="C53" s="255" t="s">
        <v>315</v>
      </c>
      <c r="D53" s="255" t="s">
        <v>316</v>
      </c>
      <c r="E53" s="254"/>
      <c r="F53" s="254"/>
      <c r="G53" s="256"/>
      <c r="H53" s="254">
        <f>SUM(H55:H68)</f>
        <v>373415.83066666668</v>
      </c>
      <c r="I53" s="257"/>
    </row>
    <row r="54" spans="1:9" x14ac:dyDescent="0.25">
      <c r="A54" s="254"/>
      <c r="B54" s="255"/>
      <c r="C54" s="255"/>
      <c r="D54" s="255" t="s">
        <v>317</v>
      </c>
      <c r="E54" s="254"/>
      <c r="F54" s="254"/>
      <c r="G54" s="256"/>
      <c r="H54" s="254"/>
      <c r="I54" s="257"/>
    </row>
    <row r="55" spans="1:9" ht="24" x14ac:dyDescent="0.25">
      <c r="A55" s="258"/>
      <c r="B55" s="258" t="s">
        <v>63</v>
      </c>
      <c r="C55" s="259" t="s">
        <v>318</v>
      </c>
      <c r="D55" s="259" t="s">
        <v>319</v>
      </c>
      <c r="E55" s="260" t="s">
        <v>66</v>
      </c>
      <c r="F55" s="261">
        <v>310.70000000000005</v>
      </c>
      <c r="G55" s="262">
        <v>236</v>
      </c>
      <c r="H55" s="263">
        <f t="shared" ref="H55:H63" si="4">+F55*G55</f>
        <v>73325.200000000012</v>
      </c>
      <c r="I55" s="261" t="s">
        <v>320</v>
      </c>
    </row>
    <row r="56" spans="1:9" ht="24" x14ac:dyDescent="0.25">
      <c r="A56" s="258"/>
      <c r="B56" s="258" t="s">
        <v>63</v>
      </c>
      <c r="C56" s="259" t="s">
        <v>321</v>
      </c>
      <c r="D56" s="259" t="s">
        <v>322</v>
      </c>
      <c r="E56" s="260" t="s">
        <v>66</v>
      </c>
      <c r="F56" s="261">
        <v>310.70000000000005</v>
      </c>
      <c r="G56" s="262">
        <v>115</v>
      </c>
      <c r="H56" s="263">
        <f t="shared" si="4"/>
        <v>35730.500000000007</v>
      </c>
      <c r="I56" s="261" t="s">
        <v>320</v>
      </c>
    </row>
    <row r="57" spans="1:9" ht="24" x14ac:dyDescent="0.25">
      <c r="A57" s="258"/>
      <c r="B57" s="258" t="s">
        <v>63</v>
      </c>
      <c r="C57" s="259" t="s">
        <v>323</v>
      </c>
      <c r="D57" s="259" t="s">
        <v>324</v>
      </c>
      <c r="E57" s="260" t="s">
        <v>290</v>
      </c>
      <c r="F57" s="261">
        <v>0</v>
      </c>
      <c r="G57" s="262">
        <v>1870</v>
      </c>
      <c r="H57" s="263">
        <f t="shared" si="4"/>
        <v>0</v>
      </c>
      <c r="I57" s="261" t="s">
        <v>320</v>
      </c>
    </row>
    <row r="58" spans="1:9" ht="24" x14ac:dyDescent="0.25">
      <c r="A58" s="258"/>
      <c r="B58" s="258" t="s">
        <v>63</v>
      </c>
      <c r="C58" s="259" t="s">
        <v>325</v>
      </c>
      <c r="D58" s="259" t="s">
        <v>326</v>
      </c>
      <c r="E58" s="260" t="s">
        <v>290</v>
      </c>
      <c r="F58" s="261">
        <v>0</v>
      </c>
      <c r="G58" s="262">
        <v>1050</v>
      </c>
      <c r="H58" s="263">
        <f t="shared" si="4"/>
        <v>0</v>
      </c>
      <c r="I58" s="261" t="s">
        <v>320</v>
      </c>
    </row>
    <row r="59" spans="1:9" x14ac:dyDescent="0.25">
      <c r="A59" s="258"/>
      <c r="B59" s="258" t="s">
        <v>63</v>
      </c>
      <c r="C59" s="259" t="s">
        <v>327</v>
      </c>
      <c r="D59" s="259" t="s">
        <v>328</v>
      </c>
      <c r="E59" s="260" t="s">
        <v>66</v>
      </c>
      <c r="F59" s="261">
        <v>310.70000000000005</v>
      </c>
      <c r="G59" s="262">
        <v>6.22</v>
      </c>
      <c r="H59" s="263">
        <f t="shared" si="4"/>
        <v>1932.5540000000003</v>
      </c>
      <c r="I59" s="261" t="s">
        <v>320</v>
      </c>
    </row>
    <row r="60" spans="1:9" x14ac:dyDescent="0.25">
      <c r="A60" s="264"/>
      <c r="B60" s="264" t="s">
        <v>157</v>
      </c>
      <c r="C60" s="265" t="s">
        <v>329</v>
      </c>
      <c r="D60" s="265" t="s">
        <v>330</v>
      </c>
      <c r="E60" s="266" t="s">
        <v>85</v>
      </c>
      <c r="F60" s="261">
        <v>7.767500000000001</v>
      </c>
      <c r="G60" s="262">
        <v>2700</v>
      </c>
      <c r="H60" s="267">
        <f t="shared" si="4"/>
        <v>20972.250000000004</v>
      </c>
      <c r="I60" s="261" t="s">
        <v>320</v>
      </c>
    </row>
    <row r="61" spans="1:9" x14ac:dyDescent="0.25">
      <c r="A61" s="264"/>
      <c r="B61" s="264"/>
      <c r="C61" s="265"/>
      <c r="D61" s="255" t="s">
        <v>331</v>
      </c>
      <c r="E61" s="266"/>
      <c r="F61" s="261"/>
      <c r="G61" s="262"/>
      <c r="H61" s="267"/>
      <c r="I61" s="261"/>
    </row>
    <row r="62" spans="1:9" ht="24" x14ac:dyDescent="0.25">
      <c r="A62" s="258" t="s">
        <v>198</v>
      </c>
      <c r="B62" s="258" t="s">
        <v>63</v>
      </c>
      <c r="C62" s="259" t="s">
        <v>64</v>
      </c>
      <c r="D62" s="259" t="s">
        <v>65</v>
      </c>
      <c r="E62" s="260" t="s">
        <v>66</v>
      </c>
      <c r="F62" s="261">
        <v>0</v>
      </c>
      <c r="G62" s="262">
        <v>55.24</v>
      </c>
      <c r="H62" s="263">
        <f t="shared" si="4"/>
        <v>0</v>
      </c>
      <c r="I62" s="261"/>
    </row>
    <row r="63" spans="1:9" ht="24" x14ac:dyDescent="0.25">
      <c r="A63" s="258" t="s">
        <v>166</v>
      </c>
      <c r="B63" s="258" t="s">
        <v>63</v>
      </c>
      <c r="C63" s="259" t="s">
        <v>83</v>
      </c>
      <c r="D63" s="259" t="s">
        <v>84</v>
      </c>
      <c r="E63" s="260" t="s">
        <v>85</v>
      </c>
      <c r="F63" s="261">
        <v>0</v>
      </c>
      <c r="G63" s="262">
        <v>151.66</v>
      </c>
      <c r="H63" s="263">
        <f t="shared" si="4"/>
        <v>0</v>
      </c>
      <c r="I63" s="261"/>
    </row>
    <row r="64" spans="1:9" ht="24" x14ac:dyDescent="0.25">
      <c r="A64" s="268" t="s">
        <v>77</v>
      </c>
      <c r="B64" s="258"/>
      <c r="C64" s="269" t="s">
        <v>332</v>
      </c>
      <c r="D64" s="259" t="s">
        <v>333</v>
      </c>
      <c r="E64" s="260" t="s">
        <v>66</v>
      </c>
      <c r="F64" s="261">
        <v>295.90476190476193</v>
      </c>
      <c r="G64" s="262">
        <v>338.17</v>
      </c>
      <c r="H64" s="263">
        <f>+F64*G64</f>
        <v>100066.11333333334</v>
      </c>
      <c r="I64" s="261" t="s">
        <v>334</v>
      </c>
    </row>
    <row r="65" spans="1:9" ht="24" x14ac:dyDescent="0.25">
      <c r="A65" s="268" t="s">
        <v>125</v>
      </c>
      <c r="B65" s="247"/>
      <c r="C65" s="258" t="s">
        <v>335</v>
      </c>
      <c r="D65" s="259" t="s">
        <v>336</v>
      </c>
      <c r="E65" s="260" t="s">
        <v>66</v>
      </c>
      <c r="F65" s="261">
        <v>295.90476190476193</v>
      </c>
      <c r="G65" s="262">
        <v>443.02</v>
      </c>
      <c r="H65" s="263">
        <f t="shared" ref="H65:H68" si="5">+F65*G65</f>
        <v>131091.72761904763</v>
      </c>
      <c r="I65" s="261" t="s">
        <v>334</v>
      </c>
    </row>
    <row r="66" spans="1:9" ht="24" x14ac:dyDescent="0.25">
      <c r="A66" s="268" t="s">
        <v>127</v>
      </c>
      <c r="B66" s="258" t="s">
        <v>63</v>
      </c>
      <c r="C66" s="270" t="s">
        <v>102</v>
      </c>
      <c r="D66" s="259" t="s">
        <v>103</v>
      </c>
      <c r="E66" s="260" t="s">
        <v>66</v>
      </c>
      <c r="F66" s="261">
        <v>295.90476190476193</v>
      </c>
      <c r="G66" s="262">
        <v>14.18</v>
      </c>
      <c r="H66" s="263">
        <f t="shared" si="5"/>
        <v>4195.9295238095237</v>
      </c>
      <c r="I66" s="261" t="str">
        <f>+I55</f>
        <v>ÚRS 2021-08</v>
      </c>
    </row>
    <row r="67" spans="1:9" ht="24" x14ac:dyDescent="0.25">
      <c r="A67" s="268" t="s">
        <v>128</v>
      </c>
      <c r="B67" s="258" t="s">
        <v>63</v>
      </c>
      <c r="C67" s="270" t="s">
        <v>75</v>
      </c>
      <c r="D67" s="259" t="s">
        <v>76</v>
      </c>
      <c r="E67" s="260" t="s">
        <v>66</v>
      </c>
      <c r="F67" s="261">
        <v>295.90476190476193</v>
      </c>
      <c r="G67" s="262">
        <v>20.62</v>
      </c>
      <c r="H67" s="263">
        <f t="shared" si="5"/>
        <v>6101.5561904761917</v>
      </c>
      <c r="I67" s="261" t="str">
        <f>+I56</f>
        <v>ÚRS 2021-08</v>
      </c>
    </row>
    <row r="68" spans="1:9" ht="24" x14ac:dyDescent="0.25">
      <c r="A68" s="271" t="s">
        <v>337</v>
      </c>
      <c r="B68" s="271" t="s">
        <v>63</v>
      </c>
      <c r="C68" s="272" t="s">
        <v>87</v>
      </c>
      <c r="D68" s="273" t="s">
        <v>88</v>
      </c>
      <c r="E68" s="274" t="s">
        <v>85</v>
      </c>
      <c r="F68" s="275">
        <v>0</v>
      </c>
      <c r="G68" s="262">
        <v>257.77999999999997</v>
      </c>
      <c r="H68" s="263">
        <f t="shared" si="5"/>
        <v>0</v>
      </c>
      <c r="I68" s="275"/>
    </row>
    <row r="70" spans="1:9" ht="15.75" x14ac:dyDescent="0.25">
      <c r="A70" s="247"/>
      <c r="B70" s="247"/>
      <c r="C70" s="247"/>
      <c r="D70" s="248" t="s">
        <v>340</v>
      </c>
      <c r="E70" s="247"/>
      <c r="F70" s="247"/>
      <c r="G70" s="247"/>
      <c r="H70" s="247"/>
      <c r="I70" s="247"/>
    </row>
    <row r="71" spans="1:9" x14ac:dyDescent="0.25">
      <c r="A71" s="249" t="s">
        <v>310</v>
      </c>
      <c r="B71" s="250"/>
      <c r="C71" s="249" t="s">
        <v>311</v>
      </c>
      <c r="D71" s="249" t="s">
        <v>312</v>
      </c>
      <c r="E71" s="249" t="s">
        <v>43</v>
      </c>
      <c r="F71" s="251" t="s">
        <v>44</v>
      </c>
      <c r="G71" s="252" t="s">
        <v>313</v>
      </c>
      <c r="H71" s="253" t="s">
        <v>314</v>
      </c>
      <c r="I71" s="250"/>
    </row>
    <row r="72" spans="1:9" x14ac:dyDescent="0.25">
      <c r="A72" s="254"/>
      <c r="B72" s="255" t="s">
        <v>48</v>
      </c>
      <c r="C72" s="255" t="s">
        <v>315</v>
      </c>
      <c r="D72" s="255" t="s">
        <v>316</v>
      </c>
      <c r="E72" s="254"/>
      <c r="F72" s="254"/>
      <c r="G72" s="256"/>
      <c r="H72" s="254">
        <f>SUM(H74:H88)</f>
        <v>1071143.371</v>
      </c>
      <c r="I72" s="257"/>
    </row>
    <row r="73" spans="1:9" x14ac:dyDescent="0.25">
      <c r="A73" s="254"/>
      <c r="B73" s="255"/>
      <c r="C73" s="255"/>
      <c r="D73" s="255" t="s">
        <v>317</v>
      </c>
      <c r="E73" s="254"/>
      <c r="F73" s="254"/>
      <c r="G73" s="256"/>
      <c r="H73" s="254"/>
      <c r="I73" s="257"/>
    </row>
    <row r="74" spans="1:9" ht="24" x14ac:dyDescent="0.25">
      <c r="A74" s="258"/>
      <c r="B74" s="258" t="s">
        <v>63</v>
      </c>
      <c r="C74" s="259" t="s">
        <v>318</v>
      </c>
      <c r="D74" s="259" t="s">
        <v>319</v>
      </c>
      <c r="E74" s="260" t="s">
        <v>66</v>
      </c>
      <c r="F74" s="261">
        <v>678.45</v>
      </c>
      <c r="G74" s="262">
        <v>257</v>
      </c>
      <c r="H74" s="263">
        <f t="shared" ref="H74:H82" si="6">+F74*G74</f>
        <v>174361.65000000002</v>
      </c>
      <c r="I74" s="261" t="s">
        <v>320</v>
      </c>
    </row>
    <row r="75" spans="1:9" ht="24" x14ac:dyDescent="0.25">
      <c r="A75" s="258"/>
      <c r="B75" s="258" t="s">
        <v>63</v>
      </c>
      <c r="C75" s="259" t="s">
        <v>321</v>
      </c>
      <c r="D75" s="259" t="s">
        <v>322</v>
      </c>
      <c r="E75" s="260" t="s">
        <v>66</v>
      </c>
      <c r="F75" s="261">
        <v>678.45</v>
      </c>
      <c r="G75" s="262">
        <v>125</v>
      </c>
      <c r="H75" s="263">
        <f t="shared" si="6"/>
        <v>84806.25</v>
      </c>
      <c r="I75" s="261" t="s">
        <v>320</v>
      </c>
    </row>
    <row r="76" spans="1:9" ht="24" x14ac:dyDescent="0.25">
      <c r="A76" s="258"/>
      <c r="B76" s="258" t="s">
        <v>63</v>
      </c>
      <c r="C76" s="259" t="s">
        <v>323</v>
      </c>
      <c r="D76" s="259" t="s">
        <v>324</v>
      </c>
      <c r="E76" s="260" t="s">
        <v>290</v>
      </c>
      <c r="F76" s="261">
        <v>0</v>
      </c>
      <c r="G76" s="262">
        <v>2150</v>
      </c>
      <c r="H76" s="263">
        <f t="shared" si="6"/>
        <v>0</v>
      </c>
      <c r="I76" s="261" t="s">
        <v>320</v>
      </c>
    </row>
    <row r="77" spans="1:9" ht="24" x14ac:dyDescent="0.25">
      <c r="A77" s="258"/>
      <c r="B77" s="258" t="s">
        <v>63</v>
      </c>
      <c r="C77" s="259" t="s">
        <v>325</v>
      </c>
      <c r="D77" s="259" t="s">
        <v>326</v>
      </c>
      <c r="E77" s="260" t="s">
        <v>290</v>
      </c>
      <c r="F77" s="261">
        <v>0</v>
      </c>
      <c r="G77" s="262">
        <v>1200</v>
      </c>
      <c r="H77" s="263">
        <f t="shared" si="6"/>
        <v>0</v>
      </c>
      <c r="I77" s="261" t="s">
        <v>320</v>
      </c>
    </row>
    <row r="78" spans="1:9" x14ac:dyDescent="0.25">
      <c r="A78" s="258"/>
      <c r="B78" s="258" t="s">
        <v>63</v>
      </c>
      <c r="C78" s="259" t="s">
        <v>327</v>
      </c>
      <c r="D78" s="259" t="s">
        <v>328</v>
      </c>
      <c r="E78" s="260" t="s">
        <v>66</v>
      </c>
      <c r="F78" s="261">
        <v>678.45</v>
      </c>
      <c r="G78" s="262">
        <v>6.88</v>
      </c>
      <c r="H78" s="263">
        <f t="shared" si="6"/>
        <v>4667.7359999999999</v>
      </c>
      <c r="I78" s="261" t="s">
        <v>320</v>
      </c>
    </row>
    <row r="79" spans="1:9" x14ac:dyDescent="0.25">
      <c r="A79" s="264"/>
      <c r="B79" s="264" t="s">
        <v>157</v>
      </c>
      <c r="C79" s="265" t="s">
        <v>329</v>
      </c>
      <c r="D79" s="265" t="s">
        <v>330</v>
      </c>
      <c r="E79" s="266" t="s">
        <v>85</v>
      </c>
      <c r="F79" s="261">
        <v>16.96125</v>
      </c>
      <c r="G79" s="262">
        <v>3700</v>
      </c>
      <c r="H79" s="267">
        <f t="shared" si="6"/>
        <v>62756.625</v>
      </c>
      <c r="I79" s="261" t="s">
        <v>320</v>
      </c>
    </row>
    <row r="80" spans="1:9" x14ac:dyDescent="0.25">
      <c r="A80" s="264"/>
      <c r="B80" s="264"/>
      <c r="C80" s="265"/>
      <c r="D80" s="255" t="s">
        <v>331</v>
      </c>
      <c r="E80" s="266"/>
      <c r="F80" s="261"/>
      <c r="G80" s="262"/>
      <c r="H80" s="267"/>
      <c r="I80" s="261"/>
    </row>
    <row r="81" spans="1:9" ht="24" x14ac:dyDescent="0.25">
      <c r="A81" s="258" t="s">
        <v>198</v>
      </c>
      <c r="B81" s="258" t="s">
        <v>63</v>
      </c>
      <c r="C81" s="259" t="s">
        <v>64</v>
      </c>
      <c r="D81" s="259" t="s">
        <v>65</v>
      </c>
      <c r="E81" s="260" t="s">
        <v>66</v>
      </c>
      <c r="F81" s="261">
        <v>0</v>
      </c>
      <c r="G81" s="262">
        <v>55.24</v>
      </c>
      <c r="H81" s="263">
        <f t="shared" si="6"/>
        <v>0</v>
      </c>
      <c r="I81" s="261"/>
    </row>
    <row r="82" spans="1:9" ht="24" x14ac:dyDescent="0.25">
      <c r="A82" s="258" t="s">
        <v>166</v>
      </c>
      <c r="B82" s="258" t="s">
        <v>63</v>
      </c>
      <c r="C82" s="259" t="s">
        <v>83</v>
      </c>
      <c r="D82" s="259" t="s">
        <v>84</v>
      </c>
      <c r="E82" s="260" t="s">
        <v>85</v>
      </c>
      <c r="F82" s="261">
        <v>0</v>
      </c>
      <c r="G82" s="262">
        <v>151.66</v>
      </c>
      <c r="H82" s="263">
        <f t="shared" si="6"/>
        <v>0</v>
      </c>
      <c r="I82" s="261"/>
    </row>
    <row r="83" spans="1:9" ht="24" x14ac:dyDescent="0.25">
      <c r="A83" s="268" t="s">
        <v>77</v>
      </c>
      <c r="B83" s="258"/>
      <c r="C83" s="269" t="s">
        <v>332</v>
      </c>
      <c r="D83" s="259" t="s">
        <v>333</v>
      </c>
      <c r="E83" s="260" t="s">
        <v>66</v>
      </c>
      <c r="F83" s="261">
        <v>646.14285714285711</v>
      </c>
      <c r="G83" s="262">
        <v>338.17</v>
      </c>
      <c r="H83" s="263">
        <f>+F83*G83</f>
        <v>218506.13</v>
      </c>
      <c r="I83" s="261" t="s">
        <v>334</v>
      </c>
    </row>
    <row r="84" spans="1:9" ht="24" x14ac:dyDescent="0.25">
      <c r="A84" s="268" t="s">
        <v>125</v>
      </c>
      <c r="B84" s="258"/>
      <c r="C84" s="247" t="s">
        <v>335</v>
      </c>
      <c r="D84" s="259" t="s">
        <v>336</v>
      </c>
      <c r="E84" s="260" t="s">
        <v>66</v>
      </c>
      <c r="F84" s="261">
        <v>646.14285714285711</v>
      </c>
      <c r="G84" s="262">
        <v>443.02</v>
      </c>
      <c r="H84" s="263">
        <f t="shared" ref="H84:H88" si="7">+F84*G84</f>
        <v>286254.20857142855</v>
      </c>
      <c r="I84" s="261" t="s">
        <v>334</v>
      </c>
    </row>
    <row r="85" spans="1:9" ht="24" x14ac:dyDescent="0.25">
      <c r="A85" s="268" t="s">
        <v>127</v>
      </c>
      <c r="B85" s="258" t="s">
        <v>63</v>
      </c>
      <c r="C85" s="270" t="s">
        <v>102</v>
      </c>
      <c r="D85" s="259" t="s">
        <v>103</v>
      </c>
      <c r="E85" s="260" t="s">
        <v>66</v>
      </c>
      <c r="F85" s="261">
        <v>646.14285714285711</v>
      </c>
      <c r="G85" s="262">
        <v>14.18</v>
      </c>
      <c r="H85" s="263">
        <f t="shared" si="7"/>
        <v>9162.3057142857142</v>
      </c>
      <c r="I85" s="261" t="str">
        <f>+I74</f>
        <v>ÚRS 2021-08</v>
      </c>
    </row>
    <row r="86" spans="1:9" ht="24" x14ac:dyDescent="0.25">
      <c r="A86" s="268" t="s">
        <v>128</v>
      </c>
      <c r="B86" s="258" t="s">
        <v>63</v>
      </c>
      <c r="C86" s="270" t="s">
        <v>75</v>
      </c>
      <c r="D86" s="259" t="s">
        <v>76</v>
      </c>
      <c r="E86" s="260" t="s">
        <v>66</v>
      </c>
      <c r="F86" s="261">
        <v>646.14285714285711</v>
      </c>
      <c r="G86" s="262">
        <v>20.62</v>
      </c>
      <c r="H86" s="263">
        <f t="shared" si="7"/>
        <v>13323.465714285714</v>
      </c>
      <c r="I86" s="261" t="str">
        <f>+I75</f>
        <v>ÚRS 2021-08</v>
      </c>
    </row>
    <row r="87" spans="1:9" x14ac:dyDescent="0.25">
      <c r="A87" s="268" t="s">
        <v>93</v>
      </c>
      <c r="B87" s="258"/>
      <c r="C87" s="270" t="s">
        <v>94</v>
      </c>
      <c r="D87" s="259" t="s">
        <v>95</v>
      </c>
      <c r="E87" s="260" t="s">
        <v>96</v>
      </c>
      <c r="F87" s="261">
        <v>45</v>
      </c>
      <c r="G87" s="262">
        <v>4829</v>
      </c>
      <c r="H87" s="263">
        <f t="shared" ref="H87" si="8">ROUND(G87*F87,2)</f>
        <v>217305</v>
      </c>
      <c r="I87" s="261"/>
    </row>
    <row r="88" spans="1:9" ht="24" x14ac:dyDescent="0.25">
      <c r="A88" s="271" t="s">
        <v>337</v>
      </c>
      <c r="B88" s="271" t="s">
        <v>63</v>
      </c>
      <c r="C88" s="272" t="s">
        <v>87</v>
      </c>
      <c r="D88" s="273" t="s">
        <v>88</v>
      </c>
      <c r="E88" s="274" t="s">
        <v>85</v>
      </c>
      <c r="F88" s="275">
        <v>0</v>
      </c>
      <c r="G88" s="262">
        <v>257.77999999999997</v>
      </c>
      <c r="H88" s="263">
        <f t="shared" si="7"/>
        <v>0</v>
      </c>
      <c r="I88" s="275"/>
    </row>
    <row r="90" spans="1:9" ht="15.75" x14ac:dyDescent="0.25">
      <c r="A90" s="247"/>
      <c r="B90" s="247"/>
      <c r="C90" s="247"/>
      <c r="D90" s="248" t="s">
        <v>341</v>
      </c>
      <c r="E90" s="247"/>
      <c r="F90" s="247"/>
      <c r="G90" s="247"/>
      <c r="H90" s="247"/>
      <c r="I90" s="247"/>
    </row>
    <row r="91" spans="1:9" x14ac:dyDescent="0.25">
      <c r="A91" s="249" t="s">
        <v>310</v>
      </c>
      <c r="B91" s="250"/>
      <c r="C91" s="249" t="s">
        <v>311</v>
      </c>
      <c r="D91" s="249" t="s">
        <v>312</v>
      </c>
      <c r="E91" s="249" t="s">
        <v>43</v>
      </c>
      <c r="F91" s="251" t="s">
        <v>44</v>
      </c>
      <c r="G91" s="252" t="s">
        <v>313</v>
      </c>
      <c r="H91" s="253" t="s">
        <v>314</v>
      </c>
      <c r="I91" s="250"/>
    </row>
    <row r="92" spans="1:9" x14ac:dyDescent="0.25">
      <c r="A92" s="254"/>
      <c r="B92" s="255" t="s">
        <v>48</v>
      </c>
      <c r="C92" s="255" t="s">
        <v>315</v>
      </c>
      <c r="D92" s="255" t="s">
        <v>316</v>
      </c>
      <c r="E92" s="254"/>
      <c r="F92" s="254"/>
      <c r="G92" s="256"/>
      <c r="H92" s="254">
        <f>SUM(H94:H108)</f>
        <v>430948.53666666662</v>
      </c>
      <c r="I92" s="257"/>
    </row>
    <row r="93" spans="1:9" x14ac:dyDescent="0.25">
      <c r="A93" s="254"/>
      <c r="B93" s="255"/>
      <c r="C93" s="255"/>
      <c r="D93" s="255" t="s">
        <v>317</v>
      </c>
      <c r="E93" s="254"/>
      <c r="F93" s="254"/>
      <c r="G93" s="256"/>
      <c r="H93" s="254"/>
      <c r="I93" s="257"/>
    </row>
    <row r="94" spans="1:9" ht="24" x14ac:dyDescent="0.25">
      <c r="A94" s="258"/>
      <c r="B94" s="258" t="s">
        <v>63</v>
      </c>
      <c r="C94" s="259" t="s">
        <v>318</v>
      </c>
      <c r="D94" s="259" t="s">
        <v>319</v>
      </c>
      <c r="E94" s="260" t="s">
        <v>66</v>
      </c>
      <c r="F94" s="261">
        <v>246.5</v>
      </c>
      <c r="G94" s="262">
        <v>257</v>
      </c>
      <c r="H94" s="263">
        <f t="shared" ref="H94:H102" si="9">+F94*G94</f>
        <v>63350.5</v>
      </c>
      <c r="I94" s="261" t="s">
        <v>320</v>
      </c>
    </row>
    <row r="95" spans="1:9" ht="24" x14ac:dyDescent="0.25">
      <c r="A95" s="258"/>
      <c r="B95" s="258" t="s">
        <v>63</v>
      </c>
      <c r="C95" s="259" t="s">
        <v>321</v>
      </c>
      <c r="D95" s="259" t="s">
        <v>322</v>
      </c>
      <c r="E95" s="260" t="s">
        <v>66</v>
      </c>
      <c r="F95" s="261">
        <v>246.5</v>
      </c>
      <c r="G95" s="262">
        <v>125</v>
      </c>
      <c r="H95" s="263">
        <f t="shared" si="9"/>
        <v>30812.5</v>
      </c>
      <c r="I95" s="261" t="s">
        <v>320</v>
      </c>
    </row>
    <row r="96" spans="1:9" ht="24" x14ac:dyDescent="0.25">
      <c r="A96" s="258"/>
      <c r="B96" s="258" t="s">
        <v>63</v>
      </c>
      <c r="C96" s="259" t="s">
        <v>323</v>
      </c>
      <c r="D96" s="259" t="s">
        <v>324</v>
      </c>
      <c r="E96" s="260" t="s">
        <v>290</v>
      </c>
      <c r="F96" s="261">
        <v>0</v>
      </c>
      <c r="G96" s="262">
        <v>2150</v>
      </c>
      <c r="H96" s="263">
        <f t="shared" si="9"/>
        <v>0</v>
      </c>
      <c r="I96" s="261" t="s">
        <v>320</v>
      </c>
    </row>
    <row r="97" spans="1:9" ht="24" x14ac:dyDescent="0.25">
      <c r="A97" s="258"/>
      <c r="B97" s="258" t="s">
        <v>63</v>
      </c>
      <c r="C97" s="259" t="s">
        <v>325</v>
      </c>
      <c r="D97" s="259" t="s">
        <v>326</v>
      </c>
      <c r="E97" s="260" t="s">
        <v>290</v>
      </c>
      <c r="F97" s="261">
        <v>0</v>
      </c>
      <c r="G97" s="262">
        <v>1200</v>
      </c>
      <c r="H97" s="263">
        <f t="shared" si="9"/>
        <v>0</v>
      </c>
      <c r="I97" s="261" t="s">
        <v>320</v>
      </c>
    </row>
    <row r="98" spans="1:9" x14ac:dyDescent="0.25">
      <c r="A98" s="258"/>
      <c r="B98" s="258" t="s">
        <v>63</v>
      </c>
      <c r="C98" s="259" t="s">
        <v>327</v>
      </c>
      <c r="D98" s="259" t="s">
        <v>328</v>
      </c>
      <c r="E98" s="260" t="s">
        <v>66</v>
      </c>
      <c r="F98" s="261">
        <v>246.5</v>
      </c>
      <c r="G98" s="262">
        <v>6.88</v>
      </c>
      <c r="H98" s="263">
        <f t="shared" si="9"/>
        <v>1695.92</v>
      </c>
      <c r="I98" s="261" t="s">
        <v>320</v>
      </c>
    </row>
    <row r="99" spans="1:9" x14ac:dyDescent="0.25">
      <c r="A99" s="264"/>
      <c r="B99" s="264" t="s">
        <v>157</v>
      </c>
      <c r="C99" s="265" t="s">
        <v>329</v>
      </c>
      <c r="D99" s="265" t="s">
        <v>330</v>
      </c>
      <c r="E99" s="266" t="s">
        <v>85</v>
      </c>
      <c r="F99" s="261">
        <v>6.1624999999999996</v>
      </c>
      <c r="G99" s="262">
        <v>3700</v>
      </c>
      <c r="H99" s="267">
        <f t="shared" si="9"/>
        <v>22801.25</v>
      </c>
      <c r="I99" s="261" t="s">
        <v>320</v>
      </c>
    </row>
    <row r="100" spans="1:9" x14ac:dyDescent="0.25">
      <c r="A100" s="264"/>
      <c r="B100" s="264"/>
      <c r="C100" s="265"/>
      <c r="D100" s="255" t="s">
        <v>331</v>
      </c>
      <c r="E100" s="266"/>
      <c r="F100" s="261"/>
      <c r="G100" s="262"/>
      <c r="H100" s="267"/>
      <c r="I100" s="261"/>
    </row>
    <row r="101" spans="1:9" ht="24" x14ac:dyDescent="0.25">
      <c r="A101" s="258" t="s">
        <v>198</v>
      </c>
      <c r="B101" s="258" t="s">
        <v>63</v>
      </c>
      <c r="C101" s="259" t="s">
        <v>64</v>
      </c>
      <c r="D101" s="259" t="s">
        <v>65</v>
      </c>
      <c r="E101" s="260" t="s">
        <v>66</v>
      </c>
      <c r="F101" s="261">
        <v>0</v>
      </c>
      <c r="G101" s="262">
        <v>55.24</v>
      </c>
      <c r="H101" s="263">
        <f t="shared" si="9"/>
        <v>0</v>
      </c>
      <c r="I101" s="261"/>
    </row>
    <row r="102" spans="1:9" ht="24" x14ac:dyDescent="0.25">
      <c r="A102" s="258" t="s">
        <v>166</v>
      </c>
      <c r="B102" s="258" t="s">
        <v>63</v>
      </c>
      <c r="C102" s="259" t="s">
        <v>83</v>
      </c>
      <c r="D102" s="259" t="s">
        <v>84</v>
      </c>
      <c r="E102" s="260" t="s">
        <v>85</v>
      </c>
      <c r="F102" s="261">
        <v>0</v>
      </c>
      <c r="G102" s="262">
        <v>151.66</v>
      </c>
      <c r="H102" s="263">
        <f t="shared" si="9"/>
        <v>0</v>
      </c>
      <c r="I102" s="261"/>
    </row>
    <row r="103" spans="1:9" ht="24" x14ac:dyDescent="0.25">
      <c r="A103" s="268" t="s">
        <v>77</v>
      </c>
      <c r="B103" s="258"/>
      <c r="C103" s="269" t="s">
        <v>332</v>
      </c>
      <c r="D103" s="259" t="s">
        <v>333</v>
      </c>
      <c r="E103" s="260" t="s">
        <v>66</v>
      </c>
      <c r="F103" s="261">
        <v>234.76190476190476</v>
      </c>
      <c r="G103" s="262">
        <v>338.17</v>
      </c>
      <c r="H103" s="263">
        <f>+F103*G103</f>
        <v>79389.433333333334</v>
      </c>
      <c r="I103" s="261" t="s">
        <v>334</v>
      </c>
    </row>
    <row r="104" spans="1:9" ht="24" x14ac:dyDescent="0.25">
      <c r="A104" s="268" t="s">
        <v>125</v>
      </c>
      <c r="B104" s="258"/>
      <c r="C104" s="247" t="s">
        <v>335</v>
      </c>
      <c r="D104" s="259" t="s">
        <v>336</v>
      </c>
      <c r="E104" s="260" t="s">
        <v>66</v>
      </c>
      <c r="F104" s="261">
        <v>234.76190476190476</v>
      </c>
      <c r="G104" s="262">
        <v>443.02</v>
      </c>
      <c r="H104" s="263">
        <f t="shared" ref="H104:H108" si="10">+F104*G104</f>
        <v>104004.21904761904</v>
      </c>
      <c r="I104" s="261" t="s">
        <v>334</v>
      </c>
    </row>
    <row r="105" spans="1:9" ht="24" x14ac:dyDescent="0.25">
      <c r="A105" s="268" t="s">
        <v>127</v>
      </c>
      <c r="B105" s="258" t="s">
        <v>63</v>
      </c>
      <c r="C105" s="270" t="s">
        <v>102</v>
      </c>
      <c r="D105" s="259" t="s">
        <v>103</v>
      </c>
      <c r="E105" s="260" t="s">
        <v>66</v>
      </c>
      <c r="F105" s="261">
        <v>234.76190476190476</v>
      </c>
      <c r="G105" s="262">
        <v>14.18</v>
      </c>
      <c r="H105" s="263">
        <f t="shared" si="10"/>
        <v>3328.9238095238093</v>
      </c>
      <c r="I105" s="261" t="str">
        <f>+I94</f>
        <v>ÚRS 2021-08</v>
      </c>
    </row>
    <row r="106" spans="1:9" ht="24" x14ac:dyDescent="0.25">
      <c r="A106" s="268" t="s">
        <v>128</v>
      </c>
      <c r="B106" s="258" t="s">
        <v>63</v>
      </c>
      <c r="C106" s="270" t="s">
        <v>75</v>
      </c>
      <c r="D106" s="259" t="s">
        <v>76</v>
      </c>
      <c r="E106" s="260" t="s">
        <v>66</v>
      </c>
      <c r="F106" s="261">
        <v>234.76190476190476</v>
      </c>
      <c r="G106" s="262">
        <v>20.62</v>
      </c>
      <c r="H106" s="263">
        <f t="shared" si="10"/>
        <v>4840.7904761904765</v>
      </c>
      <c r="I106" s="261" t="str">
        <f>+I95</f>
        <v>ÚRS 2021-08</v>
      </c>
    </row>
    <row r="107" spans="1:9" x14ac:dyDescent="0.25">
      <c r="A107" s="268" t="s">
        <v>93</v>
      </c>
      <c r="B107" s="258"/>
      <c r="C107" s="270" t="s">
        <v>94</v>
      </c>
      <c r="D107" s="259" t="s">
        <v>95</v>
      </c>
      <c r="E107" s="260" t="s">
        <v>96</v>
      </c>
      <c r="F107" s="261">
        <v>25</v>
      </c>
      <c r="G107" s="262">
        <v>4829</v>
      </c>
      <c r="H107" s="263">
        <f t="shared" ref="H107" si="11">ROUND(G107*F107,2)</f>
        <v>120725</v>
      </c>
      <c r="I107" s="261"/>
    </row>
    <row r="108" spans="1:9" ht="24" x14ac:dyDescent="0.25">
      <c r="A108" s="271" t="s">
        <v>337</v>
      </c>
      <c r="B108" s="271" t="s">
        <v>63</v>
      </c>
      <c r="C108" s="272" t="s">
        <v>87</v>
      </c>
      <c r="D108" s="273" t="s">
        <v>88</v>
      </c>
      <c r="E108" s="274" t="s">
        <v>85</v>
      </c>
      <c r="F108" s="275">
        <v>0</v>
      </c>
      <c r="G108" s="262">
        <v>257.77999999999997</v>
      </c>
      <c r="H108" s="263">
        <f t="shared" si="10"/>
        <v>0</v>
      </c>
      <c r="I108" s="275"/>
    </row>
    <row r="110" spans="1:9" ht="15.75" x14ac:dyDescent="0.25">
      <c r="A110" s="247"/>
      <c r="B110" s="247"/>
      <c r="C110" s="247"/>
      <c r="D110" s="248" t="s">
        <v>342</v>
      </c>
      <c r="E110" s="247"/>
      <c r="F110" s="247"/>
      <c r="G110" s="247"/>
      <c r="H110" s="247"/>
      <c r="I110" s="247"/>
    </row>
    <row r="111" spans="1:9" x14ac:dyDescent="0.25">
      <c r="A111" s="249" t="s">
        <v>310</v>
      </c>
      <c r="B111" s="250"/>
      <c r="C111" s="249" t="s">
        <v>311</v>
      </c>
      <c r="D111" s="249" t="s">
        <v>312</v>
      </c>
      <c r="E111" s="249" t="s">
        <v>43</v>
      </c>
      <c r="F111" s="251" t="s">
        <v>44</v>
      </c>
      <c r="G111" s="252" t="s">
        <v>313</v>
      </c>
      <c r="H111" s="253" t="s">
        <v>314</v>
      </c>
      <c r="I111" s="250"/>
    </row>
    <row r="112" spans="1:9" x14ac:dyDescent="0.25">
      <c r="A112" s="254"/>
      <c r="B112" s="255" t="s">
        <v>48</v>
      </c>
      <c r="C112" s="255" t="s">
        <v>315</v>
      </c>
      <c r="D112" s="255" t="s">
        <v>316</v>
      </c>
      <c r="E112" s="254"/>
      <c r="F112" s="254"/>
      <c r="G112" s="256"/>
      <c r="H112" s="254">
        <f>SUM(H114:H128)</f>
        <v>955185.46400000004</v>
      </c>
      <c r="I112" s="257"/>
    </row>
    <row r="113" spans="1:9" x14ac:dyDescent="0.25">
      <c r="A113" s="254"/>
      <c r="B113" s="255"/>
      <c r="C113" s="255"/>
      <c r="D113" s="255" t="s">
        <v>317</v>
      </c>
      <c r="E113" s="254"/>
      <c r="F113" s="254"/>
      <c r="G113" s="256"/>
      <c r="H113" s="254"/>
      <c r="I113" s="257"/>
    </row>
    <row r="114" spans="1:9" ht="24" x14ac:dyDescent="0.25">
      <c r="A114" s="258"/>
      <c r="B114" s="258" t="s">
        <v>63</v>
      </c>
      <c r="C114" s="259" t="s">
        <v>318</v>
      </c>
      <c r="D114" s="259" t="s">
        <v>319</v>
      </c>
      <c r="E114" s="260" t="s">
        <v>66</v>
      </c>
      <c r="F114" s="261">
        <v>574.80000000000007</v>
      </c>
      <c r="G114" s="262">
        <v>257</v>
      </c>
      <c r="H114" s="263">
        <f t="shared" ref="H114:H122" si="12">+F114*G114</f>
        <v>147723.6</v>
      </c>
      <c r="I114" s="261" t="s">
        <v>320</v>
      </c>
    </row>
    <row r="115" spans="1:9" ht="24" x14ac:dyDescent="0.25">
      <c r="A115" s="258"/>
      <c r="B115" s="258" t="s">
        <v>63</v>
      </c>
      <c r="C115" s="259" t="s">
        <v>321</v>
      </c>
      <c r="D115" s="259" t="s">
        <v>322</v>
      </c>
      <c r="E115" s="260" t="s">
        <v>66</v>
      </c>
      <c r="F115" s="261">
        <v>574.80000000000007</v>
      </c>
      <c r="G115" s="262">
        <v>125</v>
      </c>
      <c r="H115" s="263">
        <f t="shared" si="12"/>
        <v>71850.000000000015</v>
      </c>
      <c r="I115" s="261" t="s">
        <v>320</v>
      </c>
    </row>
    <row r="116" spans="1:9" ht="24" x14ac:dyDescent="0.25">
      <c r="A116" s="258"/>
      <c r="B116" s="258" t="s">
        <v>63</v>
      </c>
      <c r="C116" s="259" t="s">
        <v>323</v>
      </c>
      <c r="D116" s="259" t="s">
        <v>324</v>
      </c>
      <c r="E116" s="260" t="s">
        <v>290</v>
      </c>
      <c r="F116" s="261">
        <v>0</v>
      </c>
      <c r="G116" s="262">
        <v>2150</v>
      </c>
      <c r="H116" s="263">
        <f t="shared" si="12"/>
        <v>0</v>
      </c>
      <c r="I116" s="261" t="s">
        <v>320</v>
      </c>
    </row>
    <row r="117" spans="1:9" ht="24" x14ac:dyDescent="0.25">
      <c r="A117" s="258"/>
      <c r="B117" s="258" t="s">
        <v>63</v>
      </c>
      <c r="C117" s="259" t="s">
        <v>325</v>
      </c>
      <c r="D117" s="259" t="s">
        <v>326</v>
      </c>
      <c r="E117" s="260" t="s">
        <v>290</v>
      </c>
      <c r="F117" s="261">
        <v>0</v>
      </c>
      <c r="G117" s="262">
        <v>1200</v>
      </c>
      <c r="H117" s="263">
        <f t="shared" si="12"/>
        <v>0</v>
      </c>
      <c r="I117" s="261" t="s">
        <v>320</v>
      </c>
    </row>
    <row r="118" spans="1:9" x14ac:dyDescent="0.25">
      <c r="A118" s="258"/>
      <c r="B118" s="258" t="s">
        <v>63</v>
      </c>
      <c r="C118" s="259" t="s">
        <v>327</v>
      </c>
      <c r="D118" s="259" t="s">
        <v>328</v>
      </c>
      <c r="E118" s="260" t="s">
        <v>66</v>
      </c>
      <c r="F118" s="261">
        <v>574.80000000000007</v>
      </c>
      <c r="G118" s="262">
        <v>6.88</v>
      </c>
      <c r="H118" s="263">
        <f t="shared" si="12"/>
        <v>3954.6240000000003</v>
      </c>
      <c r="I118" s="261" t="s">
        <v>320</v>
      </c>
    </row>
    <row r="119" spans="1:9" x14ac:dyDescent="0.25">
      <c r="A119" s="264"/>
      <c r="B119" s="264" t="s">
        <v>157</v>
      </c>
      <c r="C119" s="265" t="s">
        <v>329</v>
      </c>
      <c r="D119" s="265" t="s">
        <v>330</v>
      </c>
      <c r="E119" s="266" t="s">
        <v>85</v>
      </c>
      <c r="F119" s="261">
        <v>14.370000000000001</v>
      </c>
      <c r="G119" s="262">
        <v>3700</v>
      </c>
      <c r="H119" s="267">
        <f t="shared" si="12"/>
        <v>53169.000000000007</v>
      </c>
      <c r="I119" s="261" t="s">
        <v>320</v>
      </c>
    </row>
    <row r="120" spans="1:9" x14ac:dyDescent="0.25">
      <c r="A120" s="264"/>
      <c r="B120" s="264"/>
      <c r="C120" s="265"/>
      <c r="D120" s="255" t="s">
        <v>331</v>
      </c>
      <c r="E120" s="266"/>
      <c r="F120" s="261"/>
      <c r="G120" s="262"/>
      <c r="H120" s="267"/>
      <c r="I120" s="261"/>
    </row>
    <row r="121" spans="1:9" ht="24" x14ac:dyDescent="0.25">
      <c r="A121" s="258" t="s">
        <v>198</v>
      </c>
      <c r="B121" s="258" t="s">
        <v>63</v>
      </c>
      <c r="C121" s="259" t="s">
        <v>64</v>
      </c>
      <c r="D121" s="259" t="s">
        <v>65</v>
      </c>
      <c r="E121" s="260" t="s">
        <v>66</v>
      </c>
      <c r="F121" s="261">
        <v>0</v>
      </c>
      <c r="G121" s="262">
        <v>55.24</v>
      </c>
      <c r="H121" s="263">
        <f t="shared" si="12"/>
        <v>0</v>
      </c>
      <c r="I121" s="261"/>
    </row>
    <row r="122" spans="1:9" ht="24" x14ac:dyDescent="0.25">
      <c r="A122" s="258" t="s">
        <v>166</v>
      </c>
      <c r="B122" s="258" t="s">
        <v>63</v>
      </c>
      <c r="C122" s="259" t="s">
        <v>83</v>
      </c>
      <c r="D122" s="259" t="s">
        <v>84</v>
      </c>
      <c r="E122" s="260" t="s">
        <v>85</v>
      </c>
      <c r="F122" s="261">
        <v>0</v>
      </c>
      <c r="G122" s="262">
        <v>151.66</v>
      </c>
      <c r="H122" s="263">
        <f t="shared" si="12"/>
        <v>0</v>
      </c>
      <c r="I122" s="261"/>
    </row>
    <row r="123" spans="1:9" ht="24" x14ac:dyDescent="0.25">
      <c r="A123" s="268" t="s">
        <v>77</v>
      </c>
      <c r="B123" s="258"/>
      <c r="C123" s="269" t="s">
        <v>332</v>
      </c>
      <c r="D123" s="259" t="s">
        <v>333</v>
      </c>
      <c r="E123" s="260" t="s">
        <v>66</v>
      </c>
      <c r="F123" s="261">
        <v>547.42857142857144</v>
      </c>
      <c r="G123" s="262">
        <v>338.17</v>
      </c>
      <c r="H123" s="263">
        <f>+F123*G123</f>
        <v>185123.92</v>
      </c>
      <c r="I123" s="261" t="s">
        <v>334</v>
      </c>
    </row>
    <row r="124" spans="1:9" ht="24" x14ac:dyDescent="0.25">
      <c r="A124" s="268" t="s">
        <v>125</v>
      </c>
      <c r="B124" s="258"/>
      <c r="C124" s="247" t="s">
        <v>335</v>
      </c>
      <c r="D124" s="259" t="s">
        <v>336</v>
      </c>
      <c r="E124" s="260" t="s">
        <v>66</v>
      </c>
      <c r="F124" s="261">
        <v>547.42857142857144</v>
      </c>
      <c r="G124" s="262">
        <v>443.02</v>
      </c>
      <c r="H124" s="263">
        <f t="shared" ref="H124:H128" si="13">+F124*G124</f>
        <v>242521.8057142857</v>
      </c>
      <c r="I124" s="261" t="s">
        <v>334</v>
      </c>
    </row>
    <row r="125" spans="1:9" ht="24" x14ac:dyDescent="0.25">
      <c r="A125" s="268" t="s">
        <v>127</v>
      </c>
      <c r="B125" s="258" t="s">
        <v>63</v>
      </c>
      <c r="C125" s="270" t="s">
        <v>102</v>
      </c>
      <c r="D125" s="259" t="s">
        <v>103</v>
      </c>
      <c r="E125" s="260" t="s">
        <v>66</v>
      </c>
      <c r="F125" s="261">
        <v>547.42857142857144</v>
      </c>
      <c r="G125" s="262">
        <v>14.18</v>
      </c>
      <c r="H125" s="263">
        <f t="shared" si="13"/>
        <v>7762.5371428571425</v>
      </c>
      <c r="I125" s="261" t="str">
        <f>+I114</f>
        <v>ÚRS 2021-08</v>
      </c>
    </row>
    <row r="126" spans="1:9" ht="24" x14ac:dyDescent="0.25">
      <c r="A126" s="268" t="s">
        <v>128</v>
      </c>
      <c r="B126" s="258" t="s">
        <v>63</v>
      </c>
      <c r="C126" s="270" t="s">
        <v>75</v>
      </c>
      <c r="D126" s="259" t="s">
        <v>76</v>
      </c>
      <c r="E126" s="260" t="s">
        <v>66</v>
      </c>
      <c r="F126" s="261">
        <v>547.42857142857144</v>
      </c>
      <c r="G126" s="262">
        <v>20.62</v>
      </c>
      <c r="H126" s="263">
        <f t="shared" si="13"/>
        <v>11287.977142857144</v>
      </c>
      <c r="I126" s="261" t="str">
        <f>+I115</f>
        <v>ÚRS 2021-08</v>
      </c>
    </row>
    <row r="127" spans="1:9" x14ac:dyDescent="0.25">
      <c r="A127" s="268" t="s">
        <v>93</v>
      </c>
      <c r="B127" s="258"/>
      <c r="C127" s="270" t="s">
        <v>94</v>
      </c>
      <c r="D127" s="259" t="s">
        <v>95</v>
      </c>
      <c r="E127" s="260" t="s">
        <v>96</v>
      </c>
      <c r="F127" s="261">
        <v>48</v>
      </c>
      <c r="G127" s="262">
        <v>4829</v>
      </c>
      <c r="H127" s="263">
        <f t="shared" ref="H127" si="14">ROUND(G127*F127,2)</f>
        <v>231792</v>
      </c>
      <c r="I127" s="261"/>
    </row>
    <row r="128" spans="1:9" ht="24" x14ac:dyDescent="0.25">
      <c r="A128" s="271" t="s">
        <v>337</v>
      </c>
      <c r="B128" s="271" t="s">
        <v>63</v>
      </c>
      <c r="C128" s="272" t="s">
        <v>87</v>
      </c>
      <c r="D128" s="273" t="s">
        <v>88</v>
      </c>
      <c r="E128" s="274" t="s">
        <v>85</v>
      </c>
      <c r="F128" s="275">
        <v>0</v>
      </c>
      <c r="G128" s="262">
        <v>257.77999999999997</v>
      </c>
      <c r="H128" s="263">
        <f t="shared" si="13"/>
        <v>0</v>
      </c>
      <c r="I128" s="275"/>
    </row>
    <row r="130" spans="1:9" ht="15.75" x14ac:dyDescent="0.25">
      <c r="A130" s="247"/>
      <c r="B130" s="247"/>
      <c r="C130" s="247"/>
      <c r="D130" s="248" t="s">
        <v>343</v>
      </c>
      <c r="E130" s="247"/>
      <c r="F130" s="247"/>
      <c r="G130" s="247"/>
      <c r="H130" s="247"/>
      <c r="I130" s="247"/>
    </row>
    <row r="131" spans="1:9" x14ac:dyDescent="0.25">
      <c r="A131" s="249" t="s">
        <v>310</v>
      </c>
      <c r="B131" s="250"/>
      <c r="C131" s="249" t="s">
        <v>311</v>
      </c>
      <c r="D131" s="249" t="s">
        <v>312</v>
      </c>
      <c r="E131" s="249" t="s">
        <v>43</v>
      </c>
      <c r="F131" s="251" t="s">
        <v>44</v>
      </c>
      <c r="G131" s="252" t="s">
        <v>313</v>
      </c>
      <c r="H131" s="253" t="s">
        <v>314</v>
      </c>
      <c r="I131" s="250"/>
    </row>
    <row r="132" spans="1:9" x14ac:dyDescent="0.25">
      <c r="A132" s="254"/>
      <c r="B132" s="255" t="s">
        <v>48</v>
      </c>
      <c r="C132" s="255" t="s">
        <v>315</v>
      </c>
      <c r="D132" s="255" t="s">
        <v>316</v>
      </c>
      <c r="E132" s="254"/>
      <c r="F132" s="254"/>
      <c r="G132" s="256"/>
      <c r="H132" s="254">
        <f>SUM(H134:H148)</f>
        <v>102123.99766666666</v>
      </c>
      <c r="I132" s="257"/>
    </row>
    <row r="133" spans="1:9" x14ac:dyDescent="0.25">
      <c r="A133" s="254"/>
      <c r="B133" s="255"/>
      <c r="C133" s="255"/>
      <c r="D133" s="255" t="s">
        <v>317</v>
      </c>
      <c r="E133" s="254"/>
      <c r="F133" s="254"/>
      <c r="G133" s="256"/>
      <c r="H133" s="254"/>
      <c r="I133" s="257"/>
    </row>
    <row r="134" spans="1:9" ht="24" x14ac:dyDescent="0.25">
      <c r="A134" s="258"/>
      <c r="B134" s="258" t="s">
        <v>63</v>
      </c>
      <c r="C134" s="259" t="s">
        <v>318</v>
      </c>
      <c r="D134" s="259" t="s">
        <v>319</v>
      </c>
      <c r="E134" s="260" t="s">
        <v>66</v>
      </c>
      <c r="F134" s="261">
        <v>50.45</v>
      </c>
      <c r="G134" s="262">
        <v>257</v>
      </c>
      <c r="H134" s="263">
        <f t="shared" ref="H134:H142" si="15">+F134*G134</f>
        <v>12965.650000000001</v>
      </c>
      <c r="I134" s="261" t="s">
        <v>320</v>
      </c>
    </row>
    <row r="135" spans="1:9" ht="24" x14ac:dyDescent="0.25">
      <c r="A135" s="258"/>
      <c r="B135" s="258" t="s">
        <v>63</v>
      </c>
      <c r="C135" s="259" t="s">
        <v>321</v>
      </c>
      <c r="D135" s="259" t="s">
        <v>322</v>
      </c>
      <c r="E135" s="260" t="s">
        <v>66</v>
      </c>
      <c r="F135" s="261">
        <v>50.45</v>
      </c>
      <c r="G135" s="262">
        <v>125</v>
      </c>
      <c r="H135" s="263">
        <f t="shared" si="15"/>
        <v>6306.25</v>
      </c>
      <c r="I135" s="261" t="s">
        <v>320</v>
      </c>
    </row>
    <row r="136" spans="1:9" ht="24" x14ac:dyDescent="0.25">
      <c r="A136" s="258"/>
      <c r="B136" s="258" t="s">
        <v>63</v>
      </c>
      <c r="C136" s="259" t="s">
        <v>323</v>
      </c>
      <c r="D136" s="259" t="s">
        <v>324</v>
      </c>
      <c r="E136" s="260" t="s">
        <v>290</v>
      </c>
      <c r="F136" s="261">
        <v>0</v>
      </c>
      <c r="G136" s="262">
        <v>2150</v>
      </c>
      <c r="H136" s="263">
        <f t="shared" si="15"/>
        <v>0</v>
      </c>
      <c r="I136" s="261" t="s">
        <v>320</v>
      </c>
    </row>
    <row r="137" spans="1:9" ht="24" x14ac:dyDescent="0.25">
      <c r="A137" s="258"/>
      <c r="B137" s="258" t="s">
        <v>63</v>
      </c>
      <c r="C137" s="259" t="s">
        <v>325</v>
      </c>
      <c r="D137" s="259" t="s">
        <v>326</v>
      </c>
      <c r="E137" s="260" t="s">
        <v>290</v>
      </c>
      <c r="F137" s="261">
        <v>0</v>
      </c>
      <c r="G137" s="262">
        <v>1200</v>
      </c>
      <c r="H137" s="263">
        <f t="shared" si="15"/>
        <v>0</v>
      </c>
      <c r="I137" s="261" t="s">
        <v>320</v>
      </c>
    </row>
    <row r="138" spans="1:9" x14ac:dyDescent="0.25">
      <c r="A138" s="258"/>
      <c r="B138" s="258" t="s">
        <v>63</v>
      </c>
      <c r="C138" s="259" t="s">
        <v>327</v>
      </c>
      <c r="D138" s="259" t="s">
        <v>328</v>
      </c>
      <c r="E138" s="260" t="s">
        <v>66</v>
      </c>
      <c r="F138" s="261">
        <v>50.45</v>
      </c>
      <c r="G138" s="262">
        <v>6.88</v>
      </c>
      <c r="H138" s="263">
        <f t="shared" si="15"/>
        <v>347.096</v>
      </c>
      <c r="I138" s="261" t="s">
        <v>320</v>
      </c>
    </row>
    <row r="139" spans="1:9" x14ac:dyDescent="0.25">
      <c r="A139" s="264"/>
      <c r="B139" s="264" t="s">
        <v>157</v>
      </c>
      <c r="C139" s="265" t="s">
        <v>329</v>
      </c>
      <c r="D139" s="265" t="s">
        <v>330</v>
      </c>
      <c r="E139" s="266" t="s">
        <v>85</v>
      </c>
      <c r="F139" s="261">
        <v>1.26125</v>
      </c>
      <c r="G139" s="262">
        <v>3700</v>
      </c>
      <c r="H139" s="267">
        <f t="shared" si="15"/>
        <v>4666.625</v>
      </c>
      <c r="I139" s="261" t="s">
        <v>320</v>
      </c>
    </row>
    <row r="140" spans="1:9" x14ac:dyDescent="0.25">
      <c r="A140" s="264"/>
      <c r="B140" s="264"/>
      <c r="C140" s="265"/>
      <c r="D140" s="255" t="s">
        <v>331</v>
      </c>
      <c r="E140" s="266"/>
      <c r="F140" s="261"/>
      <c r="G140" s="262"/>
      <c r="H140" s="267"/>
      <c r="I140" s="261"/>
    </row>
    <row r="141" spans="1:9" ht="24" x14ac:dyDescent="0.25">
      <c r="A141" s="258" t="s">
        <v>198</v>
      </c>
      <c r="B141" s="258" t="s">
        <v>63</v>
      </c>
      <c r="C141" s="259" t="s">
        <v>64</v>
      </c>
      <c r="D141" s="259" t="s">
        <v>65</v>
      </c>
      <c r="E141" s="260" t="s">
        <v>66</v>
      </c>
      <c r="F141" s="261">
        <v>0</v>
      </c>
      <c r="G141" s="262">
        <v>55.24</v>
      </c>
      <c r="H141" s="263">
        <f t="shared" si="15"/>
        <v>0</v>
      </c>
      <c r="I141" s="261"/>
    </row>
    <row r="142" spans="1:9" ht="24" x14ac:dyDescent="0.25">
      <c r="A142" s="258" t="s">
        <v>166</v>
      </c>
      <c r="B142" s="258" t="s">
        <v>63</v>
      </c>
      <c r="C142" s="259" t="s">
        <v>83</v>
      </c>
      <c r="D142" s="259" t="s">
        <v>84</v>
      </c>
      <c r="E142" s="260" t="s">
        <v>85</v>
      </c>
      <c r="F142" s="261">
        <v>0</v>
      </c>
      <c r="G142" s="262">
        <v>151.66</v>
      </c>
      <c r="H142" s="263">
        <f t="shared" si="15"/>
        <v>0</v>
      </c>
      <c r="I142" s="261"/>
    </row>
    <row r="143" spans="1:9" ht="24" x14ac:dyDescent="0.25">
      <c r="A143" s="268" t="s">
        <v>77</v>
      </c>
      <c r="B143" s="258"/>
      <c r="C143" s="269" t="s">
        <v>332</v>
      </c>
      <c r="D143" s="259" t="s">
        <v>333</v>
      </c>
      <c r="E143" s="260" t="s">
        <v>66</v>
      </c>
      <c r="F143" s="261">
        <v>48.047619047619051</v>
      </c>
      <c r="G143" s="262">
        <v>338.17</v>
      </c>
      <c r="H143" s="263">
        <f>+F143*G143</f>
        <v>16248.263333333336</v>
      </c>
      <c r="I143" s="261" t="s">
        <v>334</v>
      </c>
    </row>
    <row r="144" spans="1:9" ht="24" x14ac:dyDescent="0.25">
      <c r="A144" s="268" t="s">
        <v>125</v>
      </c>
      <c r="B144" s="258"/>
      <c r="C144" s="247" t="s">
        <v>335</v>
      </c>
      <c r="D144" s="259" t="s">
        <v>336</v>
      </c>
      <c r="E144" s="260" t="s">
        <v>66</v>
      </c>
      <c r="F144" s="261">
        <v>48.047619047619051</v>
      </c>
      <c r="G144" s="262">
        <v>443.02</v>
      </c>
      <c r="H144" s="263">
        <f t="shared" ref="H144:H148" si="16">+F144*G144</f>
        <v>21286.056190476193</v>
      </c>
      <c r="I144" s="261" t="s">
        <v>334</v>
      </c>
    </row>
    <row r="145" spans="1:9" ht="24" x14ac:dyDescent="0.25">
      <c r="A145" s="268" t="s">
        <v>127</v>
      </c>
      <c r="B145" s="258" t="s">
        <v>63</v>
      </c>
      <c r="C145" s="270" t="s">
        <v>102</v>
      </c>
      <c r="D145" s="259" t="s">
        <v>103</v>
      </c>
      <c r="E145" s="260" t="s">
        <v>66</v>
      </c>
      <c r="F145" s="261">
        <v>48.047619047619051</v>
      </c>
      <c r="G145" s="262">
        <v>14.18</v>
      </c>
      <c r="H145" s="263">
        <f t="shared" si="16"/>
        <v>681.3152380952381</v>
      </c>
      <c r="I145" s="261" t="str">
        <f>+I134</f>
        <v>ÚRS 2021-08</v>
      </c>
    </row>
    <row r="146" spans="1:9" ht="24" x14ac:dyDescent="0.25">
      <c r="A146" s="268" t="s">
        <v>128</v>
      </c>
      <c r="B146" s="258" t="s">
        <v>63</v>
      </c>
      <c r="C146" s="270" t="s">
        <v>75</v>
      </c>
      <c r="D146" s="259" t="s">
        <v>76</v>
      </c>
      <c r="E146" s="260" t="s">
        <v>66</v>
      </c>
      <c r="F146" s="261">
        <v>48.047619047619051</v>
      </c>
      <c r="G146" s="262">
        <v>20.62</v>
      </c>
      <c r="H146" s="263">
        <f t="shared" si="16"/>
        <v>990.74190476190483</v>
      </c>
      <c r="I146" s="261" t="str">
        <f>+I135</f>
        <v>ÚRS 2021-08</v>
      </c>
    </row>
    <row r="147" spans="1:9" x14ac:dyDescent="0.25">
      <c r="A147" s="268" t="s">
        <v>93</v>
      </c>
      <c r="B147" s="258"/>
      <c r="C147" s="270" t="s">
        <v>94</v>
      </c>
      <c r="D147" s="259" t="s">
        <v>95</v>
      </c>
      <c r="E147" s="260" t="s">
        <v>96</v>
      </c>
      <c r="F147" s="261">
        <v>8</v>
      </c>
      <c r="G147" s="262">
        <v>4829</v>
      </c>
      <c r="H147" s="263">
        <f t="shared" ref="H147" si="17">ROUND(G147*F147,2)</f>
        <v>38632</v>
      </c>
      <c r="I147" s="261"/>
    </row>
    <row r="148" spans="1:9" ht="24" x14ac:dyDescent="0.25">
      <c r="A148" s="271" t="s">
        <v>337</v>
      </c>
      <c r="B148" s="271" t="s">
        <v>63</v>
      </c>
      <c r="C148" s="272" t="s">
        <v>87</v>
      </c>
      <c r="D148" s="273" t="s">
        <v>88</v>
      </c>
      <c r="E148" s="274" t="s">
        <v>85</v>
      </c>
      <c r="F148" s="275">
        <f>+F142</f>
        <v>0</v>
      </c>
      <c r="G148" s="262">
        <v>257.77999999999997</v>
      </c>
      <c r="H148" s="263">
        <f t="shared" si="16"/>
        <v>0</v>
      </c>
      <c r="I148" s="275"/>
    </row>
    <row r="150" spans="1:9" ht="15.75" x14ac:dyDescent="0.25">
      <c r="A150" s="247"/>
      <c r="B150" s="247"/>
      <c r="C150" s="247"/>
      <c r="D150" s="248" t="s">
        <v>309</v>
      </c>
      <c r="E150" s="247"/>
      <c r="F150" s="247"/>
      <c r="G150" s="247"/>
      <c r="H150" s="247"/>
      <c r="I150" s="247"/>
    </row>
    <row r="151" spans="1:9" x14ac:dyDescent="0.25">
      <c r="A151" s="249" t="s">
        <v>310</v>
      </c>
      <c r="B151" s="250"/>
      <c r="C151" s="249" t="s">
        <v>311</v>
      </c>
      <c r="D151" s="249" t="s">
        <v>312</v>
      </c>
      <c r="E151" s="249" t="s">
        <v>43</v>
      </c>
      <c r="F151" s="251" t="s">
        <v>44</v>
      </c>
      <c r="G151" s="252" t="s">
        <v>313</v>
      </c>
      <c r="H151" s="253" t="s">
        <v>314</v>
      </c>
      <c r="I151" s="250"/>
    </row>
    <row r="152" spans="1:9" x14ac:dyDescent="0.25">
      <c r="A152" s="254"/>
      <c r="B152" s="255" t="s">
        <v>48</v>
      </c>
      <c r="C152" s="255" t="s">
        <v>315</v>
      </c>
      <c r="D152" s="255" t="s">
        <v>316</v>
      </c>
      <c r="E152" s="254"/>
      <c r="F152" s="254"/>
      <c r="G152" s="256"/>
      <c r="H152" s="254">
        <f>SUM(H154:H170)</f>
        <v>563886.15662666655</v>
      </c>
      <c r="I152" s="257"/>
    </row>
    <row r="153" spans="1:9" x14ac:dyDescent="0.25">
      <c r="A153" s="254"/>
      <c r="B153" s="255"/>
      <c r="C153" s="255"/>
      <c r="D153" s="255" t="s">
        <v>317</v>
      </c>
      <c r="E153" s="254"/>
      <c r="F153" s="254"/>
      <c r="G153" s="256"/>
      <c r="H153" s="254"/>
      <c r="I153" s="257"/>
    </row>
    <row r="154" spans="1:9" ht="24" x14ac:dyDescent="0.25">
      <c r="A154" s="258"/>
      <c r="B154" s="258" t="s">
        <v>63</v>
      </c>
      <c r="C154" s="259" t="s">
        <v>318</v>
      </c>
      <c r="D154" s="259" t="s">
        <v>319</v>
      </c>
      <c r="E154" s="260" t="s">
        <v>66</v>
      </c>
      <c r="F154" s="261">
        <v>335.22199999999992</v>
      </c>
      <c r="G154" s="262">
        <v>257</v>
      </c>
      <c r="H154" s="263">
        <f t="shared" ref="H154:H164" si="18">+F154*G154</f>
        <v>86152.053999999975</v>
      </c>
      <c r="I154" s="261" t="s">
        <v>320</v>
      </c>
    </row>
    <row r="155" spans="1:9" ht="24" x14ac:dyDescent="0.25">
      <c r="A155" s="258"/>
      <c r="B155" s="258" t="s">
        <v>63</v>
      </c>
      <c r="C155" s="259" t="s">
        <v>321</v>
      </c>
      <c r="D155" s="259" t="s">
        <v>322</v>
      </c>
      <c r="E155" s="260" t="s">
        <v>66</v>
      </c>
      <c r="F155" s="261">
        <v>335.22199999999992</v>
      </c>
      <c r="G155" s="262">
        <v>125</v>
      </c>
      <c r="H155" s="263">
        <f t="shared" si="18"/>
        <v>41902.749999999993</v>
      </c>
      <c r="I155" s="261" t="s">
        <v>320</v>
      </c>
    </row>
    <row r="156" spans="1:9" ht="24" x14ac:dyDescent="0.25">
      <c r="A156" s="258"/>
      <c r="B156" s="258" t="s">
        <v>63</v>
      </c>
      <c r="C156" s="259" t="s">
        <v>323</v>
      </c>
      <c r="D156" s="259" t="s">
        <v>324</v>
      </c>
      <c r="E156" s="260" t="s">
        <v>290</v>
      </c>
      <c r="F156" s="261">
        <v>0</v>
      </c>
      <c r="G156" s="262">
        <v>2150</v>
      </c>
      <c r="H156" s="263">
        <f t="shared" si="18"/>
        <v>0</v>
      </c>
      <c r="I156" s="261" t="s">
        <v>320</v>
      </c>
    </row>
    <row r="157" spans="1:9" ht="24" x14ac:dyDescent="0.25">
      <c r="A157" s="258"/>
      <c r="B157" s="258" t="s">
        <v>63</v>
      </c>
      <c r="C157" s="259" t="s">
        <v>325</v>
      </c>
      <c r="D157" s="259" t="s">
        <v>326</v>
      </c>
      <c r="E157" s="260" t="s">
        <v>290</v>
      </c>
      <c r="F157" s="261">
        <v>0</v>
      </c>
      <c r="G157" s="262">
        <v>1200</v>
      </c>
      <c r="H157" s="263">
        <f t="shared" si="18"/>
        <v>0</v>
      </c>
      <c r="I157" s="261" t="s">
        <v>320</v>
      </c>
    </row>
    <row r="158" spans="1:9" x14ac:dyDescent="0.25">
      <c r="A158" s="258"/>
      <c r="B158" s="258" t="s">
        <v>63</v>
      </c>
      <c r="C158" s="259" t="s">
        <v>327</v>
      </c>
      <c r="D158" s="259" t="s">
        <v>328</v>
      </c>
      <c r="E158" s="260" t="s">
        <v>66</v>
      </c>
      <c r="F158" s="261">
        <v>335.22199999999992</v>
      </c>
      <c r="G158" s="262">
        <v>6.88</v>
      </c>
      <c r="H158" s="263">
        <f t="shared" si="18"/>
        <v>2306.3273599999993</v>
      </c>
      <c r="I158" s="261" t="s">
        <v>320</v>
      </c>
    </row>
    <row r="159" spans="1:9" x14ac:dyDescent="0.25">
      <c r="A159" s="264"/>
      <c r="B159" s="264" t="s">
        <v>157</v>
      </c>
      <c r="C159" s="265" t="s">
        <v>329</v>
      </c>
      <c r="D159" s="265" t="s">
        <v>330</v>
      </c>
      <c r="E159" s="266" t="s">
        <v>85</v>
      </c>
      <c r="F159" s="261">
        <v>8.3805499999999977</v>
      </c>
      <c r="G159" s="262">
        <v>3700</v>
      </c>
      <c r="H159" s="267">
        <f t="shared" si="18"/>
        <v>31008.034999999993</v>
      </c>
      <c r="I159" s="261" t="s">
        <v>320</v>
      </c>
    </row>
    <row r="160" spans="1:9" x14ac:dyDescent="0.25">
      <c r="A160" s="268"/>
      <c r="B160" s="258" t="s">
        <v>63</v>
      </c>
      <c r="C160" s="270">
        <v>938909611</v>
      </c>
      <c r="D160" s="259" t="s">
        <v>97</v>
      </c>
      <c r="E160" s="260" t="s">
        <v>66</v>
      </c>
      <c r="F160" s="261">
        <v>328</v>
      </c>
      <c r="G160" s="262">
        <v>26.9</v>
      </c>
      <c r="H160" s="263">
        <f t="shared" si="18"/>
        <v>8823.1999999999989</v>
      </c>
      <c r="I160" s="261" t="s">
        <v>344</v>
      </c>
    </row>
    <row r="161" spans="1:10" x14ac:dyDescent="0.25">
      <c r="A161" s="268"/>
      <c r="B161" s="258" t="s">
        <v>63</v>
      </c>
      <c r="C161" s="270">
        <v>569911131</v>
      </c>
      <c r="D161" s="259" t="s">
        <v>98</v>
      </c>
      <c r="E161" s="260" t="s">
        <v>66</v>
      </c>
      <c r="F161" s="261">
        <v>328</v>
      </c>
      <c r="G161" s="262">
        <v>52.7</v>
      </c>
      <c r="H161" s="263">
        <f t="shared" si="18"/>
        <v>17285.600000000002</v>
      </c>
      <c r="I161" s="261" t="s">
        <v>344</v>
      </c>
    </row>
    <row r="162" spans="1:10" x14ac:dyDescent="0.25">
      <c r="A162" s="264"/>
      <c r="B162" s="264"/>
      <c r="C162" s="265"/>
      <c r="D162" s="255" t="s">
        <v>331</v>
      </c>
      <c r="E162" s="266"/>
      <c r="F162" s="261"/>
      <c r="G162" s="262"/>
      <c r="H162" s="267"/>
      <c r="I162" s="261"/>
    </row>
    <row r="163" spans="1:10" ht="24" x14ac:dyDescent="0.25">
      <c r="A163" s="258" t="s">
        <v>198</v>
      </c>
      <c r="B163" s="258" t="s">
        <v>63</v>
      </c>
      <c r="C163" s="259" t="s">
        <v>64</v>
      </c>
      <c r="D163" s="259" t="s">
        <v>65</v>
      </c>
      <c r="E163" s="260" t="s">
        <v>66</v>
      </c>
      <c r="F163" s="276">
        <v>0</v>
      </c>
      <c r="G163" s="262">
        <v>55.24</v>
      </c>
      <c r="H163" s="263">
        <f t="shared" si="18"/>
        <v>0</v>
      </c>
      <c r="I163" s="261"/>
    </row>
    <row r="164" spans="1:10" ht="24" x14ac:dyDescent="0.25">
      <c r="A164" s="258" t="s">
        <v>166</v>
      </c>
      <c r="B164" s="258" t="s">
        <v>63</v>
      </c>
      <c r="C164" s="259" t="s">
        <v>83</v>
      </c>
      <c r="D164" s="259" t="s">
        <v>84</v>
      </c>
      <c r="E164" s="260" t="s">
        <v>85</v>
      </c>
      <c r="F164" s="261">
        <v>0</v>
      </c>
      <c r="G164" s="262">
        <v>151.66</v>
      </c>
      <c r="H164" s="263">
        <f t="shared" si="18"/>
        <v>0</v>
      </c>
      <c r="I164" s="261"/>
    </row>
    <row r="165" spans="1:10" ht="24" x14ac:dyDescent="0.25">
      <c r="A165" s="268" t="s">
        <v>77</v>
      </c>
      <c r="B165" s="258"/>
      <c r="C165" s="269" t="s">
        <v>332</v>
      </c>
      <c r="D165" s="259" t="s">
        <v>333</v>
      </c>
      <c r="E165" s="260" t="s">
        <v>66</v>
      </c>
      <c r="F165" s="261">
        <v>319.25904761904752</v>
      </c>
      <c r="G165" s="262">
        <v>338.17</v>
      </c>
      <c r="H165" s="263">
        <f>+F165*G165</f>
        <v>107963.8321333333</v>
      </c>
      <c r="I165" s="261" t="s">
        <v>334</v>
      </c>
    </row>
    <row r="166" spans="1:10" ht="24" x14ac:dyDescent="0.25">
      <c r="A166" s="268" t="s">
        <v>125</v>
      </c>
      <c r="B166" s="258"/>
      <c r="C166" s="247" t="s">
        <v>335</v>
      </c>
      <c r="D166" s="259" t="s">
        <v>336</v>
      </c>
      <c r="E166" s="260" t="s">
        <v>66</v>
      </c>
      <c r="F166" s="261">
        <v>319.25904761904752</v>
      </c>
      <c r="G166" s="262">
        <v>443.02</v>
      </c>
      <c r="H166" s="263">
        <f t="shared" ref="H166:H170" si="19">+F166*G166</f>
        <v>141438.14327619041</v>
      </c>
      <c r="I166" s="261" t="s">
        <v>334</v>
      </c>
    </row>
    <row r="167" spans="1:10" ht="24" x14ac:dyDescent="0.25">
      <c r="A167" s="268" t="s">
        <v>127</v>
      </c>
      <c r="B167" s="258" t="s">
        <v>63</v>
      </c>
      <c r="C167" s="270" t="s">
        <v>102</v>
      </c>
      <c r="D167" s="259" t="s">
        <v>103</v>
      </c>
      <c r="E167" s="260" t="s">
        <v>66</v>
      </c>
      <c r="F167" s="261">
        <v>319.25904761904752</v>
      </c>
      <c r="G167" s="262">
        <v>14.18</v>
      </c>
      <c r="H167" s="263">
        <f t="shared" si="19"/>
        <v>4527.0932952380936</v>
      </c>
      <c r="I167" s="261" t="str">
        <f>+I154</f>
        <v>ÚRS 2021-08</v>
      </c>
    </row>
    <row r="168" spans="1:10" ht="24" x14ac:dyDescent="0.25">
      <c r="A168" s="268" t="s">
        <v>128</v>
      </c>
      <c r="B168" s="258" t="s">
        <v>63</v>
      </c>
      <c r="C168" s="270" t="s">
        <v>75</v>
      </c>
      <c r="D168" s="259" t="s">
        <v>76</v>
      </c>
      <c r="E168" s="260" t="s">
        <v>66</v>
      </c>
      <c r="F168" s="261">
        <v>319.25904761904752</v>
      </c>
      <c r="G168" s="262">
        <v>20.62</v>
      </c>
      <c r="H168" s="263">
        <f t="shared" si="19"/>
        <v>6583.1215619047598</v>
      </c>
      <c r="I168" s="261" t="str">
        <f>+I155</f>
        <v>ÚRS 2021-08</v>
      </c>
    </row>
    <row r="169" spans="1:10" x14ac:dyDescent="0.25">
      <c r="A169" s="268" t="s">
        <v>93</v>
      </c>
      <c r="B169" s="258"/>
      <c r="C169" s="270" t="s">
        <v>94</v>
      </c>
      <c r="D169" s="259" t="s">
        <v>95</v>
      </c>
      <c r="E169" s="260" t="s">
        <v>96</v>
      </c>
      <c r="F169" s="261">
        <v>24</v>
      </c>
      <c r="G169" s="262">
        <v>4829</v>
      </c>
      <c r="H169" s="263">
        <f t="shared" ref="H169" si="20">ROUND(G169*F169,2)</f>
        <v>115896</v>
      </c>
      <c r="I169" s="261"/>
    </row>
    <row r="170" spans="1:10" ht="24" x14ac:dyDescent="0.25">
      <c r="A170" s="271" t="s">
        <v>337</v>
      </c>
      <c r="B170" s="271" t="s">
        <v>63</v>
      </c>
      <c r="C170" s="272" t="s">
        <v>87</v>
      </c>
      <c r="D170" s="273" t="s">
        <v>88</v>
      </c>
      <c r="E170" s="274" t="s">
        <v>85</v>
      </c>
      <c r="F170" s="275">
        <v>0</v>
      </c>
      <c r="G170" s="262">
        <v>257.77999999999997</v>
      </c>
      <c r="H170" s="263">
        <f t="shared" si="19"/>
        <v>0</v>
      </c>
      <c r="I170" s="275"/>
    </row>
    <row r="172" spans="1:10" x14ac:dyDescent="0.25">
      <c r="D172" s="418" t="s">
        <v>17</v>
      </c>
      <c r="H172" s="419">
        <f>H152+H132+H112+H92+H72+H53+H34+H15</f>
        <v>5558427.6267600004</v>
      </c>
    </row>
    <row r="174" spans="1:10" ht="15.75" x14ac:dyDescent="0.25">
      <c r="A174" s="381"/>
      <c r="B174" s="31" t="s">
        <v>18</v>
      </c>
      <c r="D174" s="35" t="s">
        <v>529</v>
      </c>
      <c r="E174" s="382"/>
      <c r="F174" s="381"/>
      <c r="G174" s="35" t="s">
        <v>20</v>
      </c>
      <c r="H174" s="376"/>
      <c r="I174" s="383"/>
      <c r="J174" s="36" t="s">
        <v>22</v>
      </c>
    </row>
    <row r="175" spans="1:10" ht="15.75" x14ac:dyDescent="0.25">
      <c r="A175" s="381"/>
      <c r="B175" s="31"/>
      <c r="D175" s="35"/>
      <c r="E175" s="382"/>
      <c r="F175" s="381"/>
      <c r="G175" s="384"/>
      <c r="H175" s="376"/>
      <c r="I175" s="383"/>
      <c r="J175" s="36"/>
    </row>
    <row r="176" spans="1:10" ht="15.75" x14ac:dyDescent="0.25">
      <c r="A176" s="381"/>
      <c r="B176" s="31" t="s">
        <v>19</v>
      </c>
      <c r="D176" s="31" t="s">
        <v>530</v>
      </c>
      <c r="E176" s="382"/>
      <c r="F176" s="381"/>
      <c r="G176" s="31" t="s">
        <v>19</v>
      </c>
      <c r="H176" s="376"/>
      <c r="I176" s="383"/>
      <c r="J176" s="31" t="s">
        <v>19</v>
      </c>
    </row>
  </sheetData>
  <protectedRanges>
    <protectedRange password="CCAA" sqref="A14 C14:F14" name="Oblast1_2"/>
    <protectedRange password="CCAA" sqref="A33 C33:F33" name="Oblast1_2_1"/>
    <protectedRange password="CCAA" sqref="A52 C52:F52" name="Oblast1_2_2"/>
    <protectedRange password="CCAA" sqref="A71 C71:F71" name="Oblast1_2_3"/>
    <protectedRange password="CCAA" sqref="A91 C91:F91" name="Oblast1_2_4"/>
    <protectedRange password="CCAA" sqref="A111 C111:F111" name="Oblast1_2_5"/>
    <protectedRange password="CCAA" sqref="A131 C131:F131" name="Oblast1_2_6"/>
    <protectedRange password="CCAA" sqref="A151 C151:F151" name="Oblast1_2_7"/>
  </protectedRanges>
  <conditionalFormatting sqref="C14:H14 A14">
    <cfRule type="cellIs" dxfId="21" priority="11" operator="lessThan">
      <formula>0</formula>
    </cfRule>
  </conditionalFormatting>
  <conditionalFormatting sqref="C33:H33 A33">
    <cfRule type="cellIs" dxfId="20" priority="10" operator="lessThan">
      <formula>0</formula>
    </cfRule>
  </conditionalFormatting>
  <conditionalFormatting sqref="C52:H52 A52">
    <cfRule type="cellIs" dxfId="19" priority="9" operator="lessThan">
      <formula>0</formula>
    </cfRule>
  </conditionalFormatting>
  <conditionalFormatting sqref="C71:H71 A71">
    <cfRule type="cellIs" dxfId="18" priority="8" operator="lessThan">
      <formula>0</formula>
    </cfRule>
  </conditionalFormatting>
  <conditionalFormatting sqref="C91:H91 A91">
    <cfRule type="cellIs" dxfId="17" priority="7" operator="lessThan">
      <formula>0</formula>
    </cfRule>
  </conditionalFormatting>
  <conditionalFormatting sqref="C111:H111 A111">
    <cfRule type="cellIs" dxfId="16" priority="6" operator="lessThan">
      <formula>0</formula>
    </cfRule>
  </conditionalFormatting>
  <conditionalFormatting sqref="C131:H131 A131">
    <cfRule type="cellIs" dxfId="15" priority="5" operator="lessThan">
      <formula>0</formula>
    </cfRule>
  </conditionalFormatting>
  <conditionalFormatting sqref="C151:H151 A151">
    <cfRule type="cellIs" dxfId="14" priority="4" operator="lessThan">
      <formula>0</formula>
    </cfRule>
  </conditionalFormatting>
  <conditionalFormatting sqref="Z1:AF1 A1:X1">
    <cfRule type="cellIs" dxfId="13" priority="3" stopIfTrue="1" operator="lessThan">
      <formula>0</formula>
    </cfRule>
  </conditionalFormatting>
  <conditionalFormatting sqref="E3">
    <cfRule type="cellIs" dxfId="12" priority="1" stopIfTrue="1" operator="lessThan">
      <formula>0</formula>
    </cfRule>
  </conditionalFormatting>
  <pageMargins left="0.7" right="0.7" top="0.78740157499999996" bottom="0.78740157499999996" header="0.3" footer="0.3"/>
  <pageSetup paperSize="9" scale="95" orientation="landscape" r:id="rId1"/>
  <rowBreaks count="1" manualBreakCount="1">
    <brk id="148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6F49E-2A53-4C6C-ACE5-9D680C824C31}">
  <dimension ref="A1:AH84"/>
  <sheetViews>
    <sheetView view="pageBreakPreview" topLeftCell="A54" zoomScale="60" zoomScaleNormal="100" workbookViewId="0">
      <selection activeCell="D80" sqref="D80"/>
    </sheetView>
  </sheetViews>
  <sheetFormatPr defaultRowHeight="15" x14ac:dyDescent="0.25"/>
  <cols>
    <col min="4" max="4" width="38.28515625" customWidth="1"/>
    <col min="8" max="8" width="14.140625" bestFit="1" customWidth="1"/>
    <col min="11" max="11" width="17.5703125" bestFit="1" customWidth="1"/>
  </cols>
  <sheetData>
    <row r="1" spans="1:34" s="42" customFormat="1" ht="12.75" x14ac:dyDescent="0.2">
      <c r="A1" s="38"/>
      <c r="B1" s="128"/>
      <c r="C1" s="38"/>
      <c r="D1" s="38"/>
      <c r="E1" s="39"/>
      <c r="F1" s="38"/>
      <c r="G1" s="40"/>
      <c r="H1" s="38"/>
      <c r="I1" s="38"/>
      <c r="J1" s="38"/>
      <c r="K1" s="38"/>
      <c r="L1" s="38"/>
      <c r="M1" s="38"/>
      <c r="N1" s="38"/>
      <c r="O1" s="41"/>
      <c r="P1" s="41"/>
      <c r="Q1" s="41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1:34" s="42" customFormat="1" ht="15.75" x14ac:dyDescent="0.25">
      <c r="A2" s="4"/>
      <c r="B2" s="129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2" customFormat="1" ht="15.75" x14ac:dyDescent="0.25">
      <c r="A3" s="4"/>
      <c r="B3" s="129"/>
      <c r="D3" s="2" t="s">
        <v>2</v>
      </c>
      <c r="E3" s="3" t="s">
        <v>547</v>
      </c>
      <c r="F3" s="5"/>
      <c r="G3" s="44"/>
      <c r="H3" s="45"/>
      <c r="I3" s="45"/>
      <c r="J3" s="4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2" customFormat="1" ht="15.75" x14ac:dyDescent="0.25">
      <c r="A4" s="4"/>
      <c r="B4" s="129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2" customFormat="1" ht="15.75" x14ac:dyDescent="0.25">
      <c r="A5" s="43"/>
      <c r="B5" s="129"/>
      <c r="D5" s="7" t="s">
        <v>5</v>
      </c>
      <c r="E5" s="9" t="s">
        <v>6</v>
      </c>
      <c r="F5" s="53"/>
      <c r="G5" s="44"/>
      <c r="H5" s="54"/>
      <c r="I5" s="54"/>
      <c r="J5" s="54"/>
      <c r="K5" s="55"/>
      <c r="L5" s="55"/>
      <c r="M5" s="55"/>
      <c r="N5" s="54"/>
      <c r="O5" s="56"/>
      <c r="P5" s="57"/>
      <c r="Q5" s="56"/>
      <c r="R5" s="54"/>
      <c r="S5" s="55"/>
      <c r="T5" s="54"/>
      <c r="U5" s="55"/>
      <c r="V5" s="54"/>
      <c r="W5" s="55"/>
      <c r="X5" s="54"/>
      <c r="Y5" s="55"/>
      <c r="Z5" s="54"/>
      <c r="AA5" s="55"/>
      <c r="AB5" s="54"/>
      <c r="AC5" s="55"/>
      <c r="AD5" s="54"/>
      <c r="AE5" s="58"/>
      <c r="AF5" s="59"/>
      <c r="AG5" s="60"/>
      <c r="AH5" s="61"/>
    </row>
    <row r="6" spans="1:34" s="42" customFormat="1" ht="15.75" x14ac:dyDescent="0.25">
      <c r="A6" s="43"/>
      <c r="B6" s="129"/>
      <c r="D6" s="2" t="s">
        <v>7</v>
      </c>
      <c r="E6" s="12" t="s">
        <v>8</v>
      </c>
      <c r="F6" s="53"/>
      <c r="G6" s="44"/>
      <c r="H6" s="54"/>
      <c r="I6" s="54"/>
      <c r="J6" s="54"/>
      <c r="K6" s="55"/>
      <c r="L6" s="55"/>
      <c r="M6" s="55"/>
      <c r="N6" s="54"/>
      <c r="O6" s="56"/>
      <c r="P6" s="57"/>
      <c r="Q6" s="56"/>
      <c r="R6" s="54"/>
      <c r="S6" s="55"/>
      <c r="T6" s="54"/>
      <c r="U6" s="55"/>
      <c r="V6" s="54"/>
      <c r="W6" s="55"/>
      <c r="X6" s="54"/>
      <c r="Y6" s="55"/>
      <c r="Z6" s="54"/>
      <c r="AA6" s="55"/>
      <c r="AB6" s="54"/>
      <c r="AC6" s="55"/>
      <c r="AD6" s="54"/>
      <c r="AE6" s="58"/>
      <c r="AF6" s="59"/>
      <c r="AG6" s="60"/>
      <c r="AH6" s="61"/>
    </row>
    <row r="7" spans="1:34" s="42" customFormat="1" ht="15.75" x14ac:dyDescent="0.25">
      <c r="A7" s="43"/>
      <c r="B7" s="129"/>
      <c r="D7" s="2" t="s">
        <v>9</v>
      </c>
      <c r="E7" s="12" t="s">
        <v>10</v>
      </c>
      <c r="F7" s="53"/>
      <c r="G7" s="44"/>
      <c r="H7" s="54"/>
      <c r="I7" s="54"/>
      <c r="J7" s="54"/>
      <c r="K7" s="55"/>
      <c r="L7" s="55"/>
      <c r="M7" s="55"/>
      <c r="N7" s="54"/>
      <c r="O7" s="56"/>
      <c r="P7" s="57"/>
      <c r="Q7" s="56"/>
      <c r="R7" s="54"/>
      <c r="S7" s="55"/>
      <c r="T7" s="54"/>
      <c r="U7" s="55"/>
      <c r="V7" s="54"/>
      <c r="W7" s="55"/>
      <c r="X7" s="54"/>
      <c r="Y7" s="55"/>
      <c r="Z7" s="54"/>
      <c r="AA7" s="55"/>
      <c r="AB7" s="54"/>
      <c r="AC7" s="55"/>
      <c r="AD7" s="54"/>
      <c r="AE7" s="58"/>
      <c r="AF7" s="59"/>
      <c r="AG7" s="60"/>
      <c r="AH7" s="61"/>
    </row>
    <row r="8" spans="1:34" s="42" customFormat="1" ht="15.75" x14ac:dyDescent="0.25">
      <c r="A8" s="43"/>
      <c r="B8" s="129"/>
      <c r="D8" s="2"/>
      <c r="E8" s="62"/>
      <c r="F8" s="53"/>
      <c r="G8" s="44"/>
      <c r="H8" s="54"/>
      <c r="I8" s="54"/>
      <c r="J8" s="54"/>
      <c r="K8" s="55"/>
      <c r="L8" s="55"/>
      <c r="M8" s="55"/>
      <c r="N8" s="54"/>
      <c r="O8" s="56"/>
      <c r="P8" s="57"/>
      <c r="Q8" s="56"/>
      <c r="R8" s="54"/>
      <c r="S8" s="55"/>
      <c r="T8" s="54"/>
      <c r="U8" s="55"/>
      <c r="V8" s="54"/>
      <c r="W8" s="55"/>
      <c r="X8" s="54"/>
      <c r="Y8" s="55"/>
      <c r="Z8" s="54"/>
      <c r="AA8" s="55"/>
      <c r="AB8" s="54"/>
      <c r="AC8" s="55"/>
      <c r="AD8" s="54"/>
      <c r="AE8" s="58"/>
      <c r="AF8" s="59"/>
      <c r="AG8" s="60"/>
      <c r="AH8" s="61"/>
    </row>
    <row r="9" spans="1:34" ht="18" x14ac:dyDescent="0.25">
      <c r="B9" s="282" t="s">
        <v>351</v>
      </c>
    </row>
    <row r="11" spans="1:34" x14ac:dyDescent="0.25">
      <c r="A11" s="279" t="s">
        <v>347</v>
      </c>
    </row>
    <row r="12" spans="1:34" ht="24" x14ac:dyDescent="0.25">
      <c r="A12" s="137" t="s">
        <v>39</v>
      </c>
      <c r="B12" s="66" t="s">
        <v>40</v>
      </c>
      <c r="C12" s="66" t="s">
        <v>41</v>
      </c>
      <c r="D12" s="66" t="s">
        <v>42</v>
      </c>
      <c r="E12" s="66" t="s">
        <v>43</v>
      </c>
      <c r="F12" s="66" t="s">
        <v>44</v>
      </c>
      <c r="G12" s="67" t="s">
        <v>45</v>
      </c>
      <c r="H12" s="68" t="s">
        <v>46</v>
      </c>
      <c r="I12" s="81"/>
      <c r="J12" s="452" t="s">
        <v>345</v>
      </c>
      <c r="K12" s="453"/>
    </row>
    <row r="13" spans="1:34" ht="15.75" x14ac:dyDescent="0.25">
      <c r="A13" s="72"/>
      <c r="B13" s="88" t="s">
        <v>48</v>
      </c>
      <c r="C13" s="74" t="s">
        <v>49</v>
      </c>
      <c r="D13" s="74" t="s">
        <v>50</v>
      </c>
      <c r="E13" s="72"/>
      <c r="F13" s="72"/>
      <c r="G13" s="75"/>
      <c r="H13" s="76"/>
      <c r="I13" s="72"/>
      <c r="J13" s="277" t="s">
        <v>60</v>
      </c>
      <c r="K13" s="277" t="s">
        <v>61</v>
      </c>
    </row>
    <row r="14" spans="1:34" ht="30" x14ac:dyDescent="0.25">
      <c r="A14" s="92" t="s">
        <v>143</v>
      </c>
      <c r="B14" s="92" t="s">
        <v>63</v>
      </c>
      <c r="C14" s="94" t="s">
        <v>64</v>
      </c>
      <c r="D14" s="95" t="s">
        <v>65</v>
      </c>
      <c r="E14" s="96" t="s">
        <v>66</v>
      </c>
      <c r="F14" s="97">
        <v>548.1</v>
      </c>
      <c r="G14" s="98">
        <v>55.24</v>
      </c>
      <c r="H14" s="97">
        <v>30277</v>
      </c>
      <c r="I14" s="19"/>
      <c r="J14" s="278">
        <v>-114</v>
      </c>
      <c r="K14" s="278">
        <v>-6297.3600000000006</v>
      </c>
    </row>
    <row r="15" spans="1:34" ht="30" x14ac:dyDescent="0.25">
      <c r="A15" s="92" t="s">
        <v>74</v>
      </c>
      <c r="B15" s="92" t="s">
        <v>63</v>
      </c>
      <c r="C15" s="94" t="s">
        <v>102</v>
      </c>
      <c r="D15" s="95" t="s">
        <v>103</v>
      </c>
      <c r="E15" s="96" t="s">
        <v>66</v>
      </c>
      <c r="F15" s="97">
        <v>287.10000000000002</v>
      </c>
      <c r="G15" s="98">
        <v>14.18</v>
      </c>
      <c r="H15" s="97">
        <v>4071.1</v>
      </c>
      <c r="I15" s="19"/>
      <c r="J15" s="278">
        <v>-125.4</v>
      </c>
      <c r="K15" s="278">
        <v>-1778.172</v>
      </c>
    </row>
    <row r="16" spans="1:34" ht="30" x14ac:dyDescent="0.25">
      <c r="A16" s="92" t="s">
        <v>77</v>
      </c>
      <c r="B16" s="92" t="s">
        <v>63</v>
      </c>
      <c r="C16" s="94" t="s">
        <v>75</v>
      </c>
      <c r="D16" s="95" t="s">
        <v>76</v>
      </c>
      <c r="E16" s="96" t="s">
        <v>66</v>
      </c>
      <c r="F16" s="97">
        <v>548.1</v>
      </c>
      <c r="G16" s="98">
        <v>20.62</v>
      </c>
      <c r="H16" s="97">
        <v>11301.8</v>
      </c>
      <c r="I16" s="19"/>
      <c r="J16" s="278">
        <v>-239.4</v>
      </c>
      <c r="K16" s="278">
        <v>-4936.4280000000008</v>
      </c>
    </row>
    <row r="17" spans="1:11" ht="45" x14ac:dyDescent="0.25">
      <c r="A17" s="92" t="s">
        <v>293</v>
      </c>
      <c r="B17" s="92" t="s">
        <v>63</v>
      </c>
      <c r="C17" s="94" t="s">
        <v>78</v>
      </c>
      <c r="D17" s="95" t="s">
        <v>79</v>
      </c>
      <c r="E17" s="96" t="s">
        <v>66</v>
      </c>
      <c r="F17" s="97">
        <v>548.1</v>
      </c>
      <c r="G17" s="98">
        <v>396.71</v>
      </c>
      <c r="H17" s="97">
        <v>217436.79999999999</v>
      </c>
      <c r="I17" s="19"/>
      <c r="J17" s="278">
        <v>-239.4</v>
      </c>
      <c r="K17" s="278">
        <v>-94972.373999999996</v>
      </c>
    </row>
    <row r="18" spans="1:11" ht="45" x14ac:dyDescent="0.25">
      <c r="A18" s="92" t="s">
        <v>296</v>
      </c>
      <c r="B18" s="92" t="s">
        <v>63</v>
      </c>
      <c r="C18" s="94" t="s">
        <v>107</v>
      </c>
      <c r="D18" s="95" t="s">
        <v>108</v>
      </c>
      <c r="E18" s="96" t="s">
        <v>66</v>
      </c>
      <c r="F18" s="97">
        <v>287.10000000000002</v>
      </c>
      <c r="G18" s="98">
        <v>559.51</v>
      </c>
      <c r="H18" s="97">
        <v>160635.29999999999</v>
      </c>
      <c r="I18" s="19"/>
      <c r="J18" s="278">
        <v>-125.4</v>
      </c>
      <c r="K18" s="278">
        <v>-70162.554000000004</v>
      </c>
    </row>
    <row r="19" spans="1:11" ht="30" x14ac:dyDescent="0.25">
      <c r="A19" s="92" t="s">
        <v>346</v>
      </c>
      <c r="B19" s="92" t="s">
        <v>63</v>
      </c>
      <c r="C19" s="94" t="s">
        <v>83</v>
      </c>
      <c r="D19" s="95" t="s">
        <v>84</v>
      </c>
      <c r="E19" s="96" t="s">
        <v>85</v>
      </c>
      <c r="F19" s="97">
        <v>554.33000000000004</v>
      </c>
      <c r="G19" s="98">
        <v>130.68</v>
      </c>
      <c r="H19" s="97">
        <v>72439.8</v>
      </c>
      <c r="I19" s="19"/>
      <c r="J19" s="278">
        <v>-14.59</v>
      </c>
      <c r="K19" s="278">
        <f>G19*J19</f>
        <v>-1906.6212</v>
      </c>
    </row>
    <row r="20" spans="1:11" ht="45" x14ac:dyDescent="0.25">
      <c r="A20" s="92" t="s">
        <v>166</v>
      </c>
      <c r="B20" s="92" t="s">
        <v>63</v>
      </c>
      <c r="C20" s="94" t="s">
        <v>87</v>
      </c>
      <c r="D20" s="95" t="s">
        <v>88</v>
      </c>
      <c r="E20" s="96" t="s">
        <v>85</v>
      </c>
      <c r="F20" s="97">
        <v>143.66</v>
      </c>
      <c r="G20" s="98">
        <v>257.77999999999997</v>
      </c>
      <c r="H20" s="97">
        <v>37032.699999999997</v>
      </c>
      <c r="I20" s="19"/>
      <c r="J20" s="278">
        <v>-14.59</v>
      </c>
      <c r="K20" s="278">
        <f>G20*J20</f>
        <v>-3761.0101999999997</v>
      </c>
    </row>
    <row r="22" spans="1:11" x14ac:dyDescent="0.25">
      <c r="A22" s="19"/>
      <c r="B22" s="19"/>
      <c r="C22" s="454" t="s">
        <v>348</v>
      </c>
      <c r="D22" s="454"/>
      <c r="E22" s="454"/>
      <c r="F22" s="454"/>
      <c r="G22" s="64"/>
      <c r="H22" s="19"/>
      <c r="I22" s="79"/>
      <c r="J22" s="19"/>
      <c r="K22" s="19"/>
    </row>
    <row r="23" spans="1:11" ht="24" x14ac:dyDescent="0.25">
      <c r="A23" s="137" t="s">
        <v>39</v>
      </c>
      <c r="B23" s="66" t="s">
        <v>40</v>
      </c>
      <c r="C23" s="66" t="s">
        <v>41</v>
      </c>
      <c r="D23" s="66" t="s">
        <v>42</v>
      </c>
      <c r="E23" s="66" t="s">
        <v>43</v>
      </c>
      <c r="F23" s="66" t="s">
        <v>44</v>
      </c>
      <c r="G23" s="67" t="s">
        <v>45</v>
      </c>
      <c r="H23" s="68" t="s">
        <v>46</v>
      </c>
      <c r="I23" s="80"/>
      <c r="J23" s="452" t="s">
        <v>345</v>
      </c>
      <c r="K23" s="453"/>
    </row>
    <row r="24" spans="1:11" ht="15.75" x14ac:dyDescent="0.25">
      <c r="A24" s="72"/>
      <c r="B24" s="88" t="s">
        <v>48</v>
      </c>
      <c r="C24" s="74" t="s">
        <v>49</v>
      </c>
      <c r="D24" s="74" t="s">
        <v>50</v>
      </c>
      <c r="E24" s="72"/>
      <c r="F24" s="72"/>
      <c r="G24" s="75"/>
      <c r="H24" s="76"/>
      <c r="I24" s="87"/>
      <c r="J24" s="277" t="s">
        <v>60</v>
      </c>
      <c r="K24" s="277" t="s">
        <v>61</v>
      </c>
    </row>
    <row r="25" spans="1:11" ht="30" x14ac:dyDescent="0.25">
      <c r="A25" s="92" t="s">
        <v>62</v>
      </c>
      <c r="B25" s="92" t="s">
        <v>63</v>
      </c>
      <c r="C25" s="94" t="s">
        <v>64</v>
      </c>
      <c r="D25" s="95" t="s">
        <v>65</v>
      </c>
      <c r="E25" s="96" t="s">
        <v>66</v>
      </c>
      <c r="F25" s="97">
        <v>15.75</v>
      </c>
      <c r="G25" s="207">
        <v>55.24</v>
      </c>
      <c r="H25" s="97">
        <v>870</v>
      </c>
      <c r="I25" s="79"/>
      <c r="J25" s="278">
        <v>-15.75</v>
      </c>
      <c r="K25" s="278">
        <f>G25*J25</f>
        <v>-870.03000000000009</v>
      </c>
    </row>
    <row r="26" spans="1:11" ht="30" x14ac:dyDescent="0.25">
      <c r="A26" s="92" t="s">
        <v>260</v>
      </c>
      <c r="B26" s="92" t="s">
        <v>63</v>
      </c>
      <c r="C26" s="94" t="s">
        <v>276</v>
      </c>
      <c r="D26" s="95" t="s">
        <v>277</v>
      </c>
      <c r="E26" s="96" t="s">
        <v>66</v>
      </c>
      <c r="F26" s="97">
        <v>261.25</v>
      </c>
      <c r="G26" s="207">
        <v>86.36</v>
      </c>
      <c r="H26" s="97">
        <v>22561.599999999999</v>
      </c>
      <c r="I26" s="79"/>
      <c r="J26" s="278">
        <v>-261.25</v>
      </c>
      <c r="K26" s="278">
        <v>-22561.55</v>
      </c>
    </row>
    <row r="27" spans="1:11" ht="30" x14ac:dyDescent="0.25">
      <c r="A27" s="92" t="s">
        <v>264</v>
      </c>
      <c r="B27" s="92" t="s">
        <v>63</v>
      </c>
      <c r="C27" s="94" t="s">
        <v>102</v>
      </c>
      <c r="D27" s="95" t="s">
        <v>103</v>
      </c>
      <c r="E27" s="96" t="s">
        <v>66</v>
      </c>
      <c r="F27" s="97">
        <v>8.25</v>
      </c>
      <c r="G27" s="207">
        <v>14.18</v>
      </c>
      <c r="H27" s="97">
        <v>117</v>
      </c>
      <c r="I27" s="79"/>
      <c r="J27" s="278">
        <v>-8.25</v>
      </c>
      <c r="K27" s="278">
        <v>-116.985</v>
      </c>
    </row>
    <row r="28" spans="1:11" ht="30" x14ac:dyDescent="0.25">
      <c r="A28" s="92" t="s">
        <v>267</v>
      </c>
      <c r="B28" s="92" t="s">
        <v>63</v>
      </c>
      <c r="C28" s="94" t="s">
        <v>75</v>
      </c>
      <c r="D28" s="95" t="s">
        <v>76</v>
      </c>
      <c r="E28" s="96" t="s">
        <v>66</v>
      </c>
      <c r="F28" s="97">
        <v>15.75</v>
      </c>
      <c r="G28" s="207">
        <v>20.62</v>
      </c>
      <c r="H28" s="97">
        <v>324.8</v>
      </c>
      <c r="I28" s="79"/>
      <c r="J28" s="278">
        <v>-15.75</v>
      </c>
      <c r="K28" s="278">
        <v>-324.76500000000004</v>
      </c>
    </row>
    <row r="29" spans="1:11" ht="45" x14ac:dyDescent="0.25">
      <c r="A29" s="92" t="s">
        <v>270</v>
      </c>
      <c r="B29" s="92" t="s">
        <v>63</v>
      </c>
      <c r="C29" s="94" t="s">
        <v>78</v>
      </c>
      <c r="D29" s="95" t="s">
        <v>79</v>
      </c>
      <c r="E29" s="96" t="s">
        <v>66</v>
      </c>
      <c r="F29" s="97">
        <v>15.75</v>
      </c>
      <c r="G29" s="207">
        <v>396.71</v>
      </c>
      <c r="H29" s="97">
        <v>6248.2</v>
      </c>
      <c r="I29" s="79"/>
      <c r="J29" s="278">
        <v>-15.75</v>
      </c>
      <c r="K29" s="278">
        <v>-6248.1824999999999</v>
      </c>
    </row>
    <row r="30" spans="1:11" ht="45" x14ac:dyDescent="0.25">
      <c r="A30" s="92" t="s">
        <v>179</v>
      </c>
      <c r="B30" s="92" t="s">
        <v>63</v>
      </c>
      <c r="C30" s="94" t="s">
        <v>107</v>
      </c>
      <c r="D30" s="95" t="s">
        <v>108</v>
      </c>
      <c r="E30" s="96" t="s">
        <v>66</v>
      </c>
      <c r="F30" s="97">
        <v>8.25</v>
      </c>
      <c r="G30" s="207">
        <v>559.51</v>
      </c>
      <c r="H30" s="97">
        <v>4616</v>
      </c>
      <c r="I30" s="79"/>
      <c r="J30" s="278">
        <v>-8.25</v>
      </c>
      <c r="K30" s="278">
        <v>-4615.9574999999995</v>
      </c>
    </row>
    <row r="31" spans="1:11" ht="30" x14ac:dyDescent="0.25">
      <c r="A31" s="92" t="s">
        <v>305</v>
      </c>
      <c r="B31" s="92" t="s">
        <v>63</v>
      </c>
      <c r="C31" s="94" t="s">
        <v>83</v>
      </c>
      <c r="D31" s="95" t="s">
        <v>84</v>
      </c>
      <c r="E31" s="96" t="s">
        <v>85</v>
      </c>
      <c r="F31" s="97">
        <v>274.23</v>
      </c>
      <c r="G31" s="207">
        <v>83.16</v>
      </c>
      <c r="H31" s="97">
        <v>22805</v>
      </c>
      <c r="I31" s="79"/>
      <c r="J31" s="278">
        <v>-2.02</v>
      </c>
      <c r="K31" s="278">
        <f>G31*J31</f>
        <v>-167.98319999999998</v>
      </c>
    </row>
    <row r="32" spans="1:11" ht="45" x14ac:dyDescent="0.25">
      <c r="A32" s="92" t="s">
        <v>153</v>
      </c>
      <c r="B32" s="92" t="s">
        <v>63</v>
      </c>
      <c r="C32" s="94" t="s">
        <v>87</v>
      </c>
      <c r="D32" s="95" t="s">
        <v>88</v>
      </c>
      <c r="E32" s="96" t="s">
        <v>85</v>
      </c>
      <c r="F32" s="97">
        <v>4.13</v>
      </c>
      <c r="G32" s="207">
        <v>257.77999999999997</v>
      </c>
      <c r="H32" s="97">
        <v>1064.5999999999999</v>
      </c>
      <c r="I32" s="79"/>
      <c r="J32" s="278">
        <v>-2.02</v>
      </c>
      <c r="K32" s="278">
        <f>G32*J32</f>
        <v>-520.71559999999999</v>
      </c>
    </row>
    <row r="34" spans="1:11" ht="15.75" x14ac:dyDescent="0.25">
      <c r="A34" s="19"/>
      <c r="B34" s="19"/>
      <c r="C34" s="280" t="s">
        <v>349</v>
      </c>
      <c r="D34" s="19"/>
      <c r="E34" s="19"/>
      <c r="F34" s="19"/>
      <c r="G34" s="64"/>
      <c r="H34" s="19"/>
      <c r="I34" s="19"/>
      <c r="J34" s="19"/>
      <c r="K34" s="19"/>
    </row>
    <row r="35" spans="1:11" ht="24" x14ac:dyDescent="0.25">
      <c r="A35" s="137" t="s">
        <v>39</v>
      </c>
      <c r="B35" s="66" t="s">
        <v>40</v>
      </c>
      <c r="C35" s="66" t="s">
        <v>41</v>
      </c>
      <c r="D35" s="66" t="s">
        <v>42</v>
      </c>
      <c r="E35" s="66" t="s">
        <v>43</v>
      </c>
      <c r="F35" s="66" t="s">
        <v>44</v>
      </c>
      <c r="G35" s="67" t="s">
        <v>45</v>
      </c>
      <c r="H35" s="68" t="s">
        <v>46</v>
      </c>
      <c r="I35" s="81"/>
      <c r="J35" s="452" t="s">
        <v>345</v>
      </c>
      <c r="K35" s="453"/>
    </row>
    <row r="36" spans="1:11" ht="15.75" x14ac:dyDescent="0.25">
      <c r="A36" s="72"/>
      <c r="B36" s="88" t="s">
        <v>48</v>
      </c>
      <c r="C36" s="74" t="s">
        <v>49</v>
      </c>
      <c r="D36" s="74" t="s">
        <v>50</v>
      </c>
      <c r="E36" s="72"/>
      <c r="F36" s="72"/>
      <c r="G36" s="75"/>
      <c r="H36" s="76"/>
      <c r="I36" s="72"/>
      <c r="J36" s="277" t="s">
        <v>60</v>
      </c>
      <c r="K36" s="277" t="s">
        <v>61</v>
      </c>
    </row>
    <row r="37" spans="1:11" ht="30" x14ac:dyDescent="0.25">
      <c r="A37" s="92" t="s">
        <v>184</v>
      </c>
      <c r="B37" s="92" t="s">
        <v>63</v>
      </c>
      <c r="C37" s="94" t="s">
        <v>64</v>
      </c>
      <c r="D37" s="95" t="s">
        <v>65</v>
      </c>
      <c r="E37" s="96" t="s">
        <v>66</v>
      </c>
      <c r="F37" s="97">
        <v>472.58</v>
      </c>
      <c r="G37" s="207">
        <v>55.24</v>
      </c>
      <c r="H37" s="97">
        <v>26105.3</v>
      </c>
      <c r="I37" s="19"/>
      <c r="J37" s="278">
        <v>-225.04</v>
      </c>
      <c r="K37" s="278">
        <f>G37*J37</f>
        <v>-12431.2096</v>
      </c>
    </row>
    <row r="38" spans="1:11" ht="30" x14ac:dyDescent="0.25">
      <c r="A38" s="92" t="s">
        <v>267</v>
      </c>
      <c r="B38" s="92" t="s">
        <v>63</v>
      </c>
      <c r="C38" s="94" t="s">
        <v>102</v>
      </c>
      <c r="D38" s="95" t="s">
        <v>103</v>
      </c>
      <c r="E38" s="96" t="s">
        <v>66</v>
      </c>
      <c r="F38" s="97">
        <v>247.54</v>
      </c>
      <c r="G38" s="207">
        <v>14.18</v>
      </c>
      <c r="H38" s="97">
        <v>3510.1</v>
      </c>
      <c r="I38" s="19"/>
      <c r="J38" s="278">
        <v>-247.54</v>
      </c>
      <c r="K38" s="278">
        <f t="shared" ref="K38:K43" si="0">G38*J38</f>
        <v>-3510.1171999999997</v>
      </c>
    </row>
    <row r="39" spans="1:11" ht="30" x14ac:dyDescent="0.25">
      <c r="A39" s="92" t="s">
        <v>270</v>
      </c>
      <c r="B39" s="92" t="s">
        <v>63</v>
      </c>
      <c r="C39" s="94" t="s">
        <v>75</v>
      </c>
      <c r="D39" s="95" t="s">
        <v>76</v>
      </c>
      <c r="E39" s="96" t="s">
        <v>66</v>
      </c>
      <c r="F39" s="97">
        <v>472.58</v>
      </c>
      <c r="G39" s="207">
        <v>20.62</v>
      </c>
      <c r="H39" s="97">
        <v>9744.6</v>
      </c>
      <c r="I39" s="19"/>
      <c r="J39" s="278">
        <v>-472.58</v>
      </c>
      <c r="K39" s="278">
        <f t="shared" si="0"/>
        <v>-9744.5995999999996</v>
      </c>
    </row>
    <row r="40" spans="1:11" ht="45" x14ac:dyDescent="0.25">
      <c r="A40" s="92" t="s">
        <v>179</v>
      </c>
      <c r="B40" s="92" t="s">
        <v>63</v>
      </c>
      <c r="C40" s="94" t="s">
        <v>78</v>
      </c>
      <c r="D40" s="95" t="s">
        <v>79</v>
      </c>
      <c r="E40" s="96" t="s">
        <v>66</v>
      </c>
      <c r="F40" s="97">
        <v>472.58</v>
      </c>
      <c r="G40" s="207">
        <v>396.71</v>
      </c>
      <c r="H40" s="97">
        <v>187477.2</v>
      </c>
      <c r="I40" s="19"/>
      <c r="J40" s="278">
        <v>-472.58</v>
      </c>
      <c r="K40" s="278">
        <f t="shared" si="0"/>
        <v>-187477.21179999999</v>
      </c>
    </row>
    <row r="41" spans="1:11" ht="45" x14ac:dyDescent="0.25">
      <c r="A41" s="92" t="s">
        <v>273</v>
      </c>
      <c r="B41" s="92" t="s">
        <v>63</v>
      </c>
      <c r="C41" s="94" t="s">
        <v>107</v>
      </c>
      <c r="D41" s="95" t="s">
        <v>108</v>
      </c>
      <c r="E41" s="96" t="s">
        <v>66</v>
      </c>
      <c r="F41" s="97">
        <v>247.54</v>
      </c>
      <c r="G41" s="207">
        <v>559.51</v>
      </c>
      <c r="H41" s="97">
        <v>138501.1</v>
      </c>
      <c r="I41" s="19"/>
      <c r="J41" s="278">
        <v>-247.54</v>
      </c>
      <c r="K41" s="278">
        <f t="shared" si="0"/>
        <v>-138501.1054</v>
      </c>
    </row>
    <row r="42" spans="1:11" ht="30" x14ac:dyDescent="0.25">
      <c r="A42" s="92" t="s">
        <v>153</v>
      </c>
      <c r="B42" s="92" t="s">
        <v>63</v>
      </c>
      <c r="C42" s="94" t="s">
        <v>83</v>
      </c>
      <c r="D42" s="95" t="s">
        <v>84</v>
      </c>
      <c r="E42" s="96" t="s">
        <v>85</v>
      </c>
      <c r="F42" s="97">
        <v>232.78</v>
      </c>
      <c r="G42" s="207">
        <v>183.8</v>
      </c>
      <c r="H42" s="97">
        <v>42785</v>
      </c>
      <c r="I42" s="19"/>
      <c r="J42" s="278">
        <v>-28.805119999999999</v>
      </c>
      <c r="K42" s="278">
        <f t="shared" si="0"/>
        <v>-5294.3810560000002</v>
      </c>
    </row>
    <row r="43" spans="1:11" ht="45" x14ac:dyDescent="0.25">
      <c r="A43" s="92" t="s">
        <v>156</v>
      </c>
      <c r="B43" s="92" t="s">
        <v>63</v>
      </c>
      <c r="C43" s="94" t="s">
        <v>87</v>
      </c>
      <c r="D43" s="95" t="s">
        <v>88</v>
      </c>
      <c r="E43" s="96" t="s">
        <v>85</v>
      </c>
      <c r="F43" s="97">
        <v>123.86</v>
      </c>
      <c r="G43" s="207">
        <v>257.77999999999997</v>
      </c>
      <c r="H43" s="97">
        <v>31928.6</v>
      </c>
      <c r="I43" s="19"/>
      <c r="J43" s="278">
        <v>-28.805119999999999</v>
      </c>
      <c r="K43" s="278">
        <f t="shared" si="0"/>
        <v>-7425.383833599999</v>
      </c>
    </row>
    <row r="45" spans="1:11" ht="18" x14ac:dyDescent="0.25">
      <c r="A45" s="19"/>
      <c r="B45" s="19"/>
      <c r="C45" s="281" t="s">
        <v>350</v>
      </c>
      <c r="D45" s="19"/>
      <c r="E45" s="19"/>
      <c r="F45" s="19"/>
      <c r="G45" s="64"/>
      <c r="H45" s="19"/>
      <c r="I45" s="19"/>
      <c r="J45" s="19"/>
      <c r="K45" s="19"/>
    </row>
    <row r="46" spans="1:11" ht="24" x14ac:dyDescent="0.25">
      <c r="A46" s="137" t="s">
        <v>39</v>
      </c>
      <c r="B46" s="66" t="s">
        <v>40</v>
      </c>
      <c r="C46" s="66" t="s">
        <v>41</v>
      </c>
      <c r="D46" s="66" t="s">
        <v>42</v>
      </c>
      <c r="E46" s="66" t="s">
        <v>43</v>
      </c>
      <c r="F46" s="66" t="s">
        <v>44</v>
      </c>
      <c r="G46" s="67" t="s">
        <v>45</v>
      </c>
      <c r="H46" s="68" t="s">
        <v>46</v>
      </c>
      <c r="I46" s="81"/>
      <c r="J46" s="452" t="s">
        <v>345</v>
      </c>
      <c r="K46" s="453"/>
    </row>
    <row r="47" spans="1:11" ht="15.75" x14ac:dyDescent="0.25">
      <c r="A47" s="72"/>
      <c r="B47" s="88" t="s">
        <v>48</v>
      </c>
      <c r="C47" s="74" t="s">
        <v>49</v>
      </c>
      <c r="D47" s="74" t="s">
        <v>50</v>
      </c>
      <c r="E47" s="72"/>
      <c r="F47" s="72"/>
      <c r="G47" s="75"/>
      <c r="H47" s="76"/>
      <c r="I47" s="72"/>
      <c r="J47" s="277" t="s">
        <v>60</v>
      </c>
      <c r="K47" s="277" t="s">
        <v>61</v>
      </c>
    </row>
    <row r="48" spans="1:11" ht="30" x14ac:dyDescent="0.25">
      <c r="A48" s="92" t="s">
        <v>184</v>
      </c>
      <c r="B48" s="92" t="s">
        <v>63</v>
      </c>
      <c r="C48" s="94" t="s">
        <v>64</v>
      </c>
      <c r="D48" s="95" t="s">
        <v>65</v>
      </c>
      <c r="E48" s="96" t="s">
        <v>66</v>
      </c>
      <c r="F48" s="97">
        <v>145.49</v>
      </c>
      <c r="G48" s="207">
        <v>55.24</v>
      </c>
      <c r="H48" s="97">
        <v>8036.9</v>
      </c>
      <c r="I48" s="19"/>
      <c r="J48" s="278">
        <v>-69.28</v>
      </c>
      <c r="K48" s="278">
        <v>-3827.0272</v>
      </c>
    </row>
    <row r="49" spans="1:11" ht="30" x14ac:dyDescent="0.25">
      <c r="A49" s="92" t="s">
        <v>267</v>
      </c>
      <c r="B49" s="92" t="s">
        <v>63</v>
      </c>
      <c r="C49" s="94" t="s">
        <v>102</v>
      </c>
      <c r="D49" s="95" t="s">
        <v>103</v>
      </c>
      <c r="E49" s="96" t="s">
        <v>66</v>
      </c>
      <c r="F49" s="97">
        <v>76.209999999999994</v>
      </c>
      <c r="G49" s="207">
        <v>14.18</v>
      </c>
      <c r="H49" s="97">
        <v>1080.7</v>
      </c>
      <c r="I49" s="19"/>
      <c r="J49" s="278">
        <v>-76.209999999999994</v>
      </c>
      <c r="K49" s="278">
        <v>-1080.7</v>
      </c>
    </row>
    <row r="50" spans="1:11" ht="30" x14ac:dyDescent="0.25">
      <c r="A50" s="92" t="s">
        <v>270</v>
      </c>
      <c r="B50" s="92" t="s">
        <v>63</v>
      </c>
      <c r="C50" s="94" t="s">
        <v>75</v>
      </c>
      <c r="D50" s="95" t="s">
        <v>76</v>
      </c>
      <c r="E50" s="96" t="s">
        <v>66</v>
      </c>
      <c r="F50" s="97">
        <v>145.49</v>
      </c>
      <c r="G50" s="207">
        <v>20.62</v>
      </c>
      <c r="H50" s="97">
        <v>3000</v>
      </c>
      <c r="I50" s="19"/>
      <c r="J50" s="278">
        <v>-145.49</v>
      </c>
      <c r="K50" s="278">
        <v>-3000</v>
      </c>
    </row>
    <row r="51" spans="1:11" ht="45" x14ac:dyDescent="0.25">
      <c r="A51" s="92" t="s">
        <v>179</v>
      </c>
      <c r="B51" s="92" t="s">
        <v>63</v>
      </c>
      <c r="C51" s="94" t="s">
        <v>78</v>
      </c>
      <c r="D51" s="95" t="s">
        <v>79</v>
      </c>
      <c r="E51" s="96" t="s">
        <v>66</v>
      </c>
      <c r="F51" s="97">
        <v>145.49</v>
      </c>
      <c r="G51" s="207">
        <v>396.71</v>
      </c>
      <c r="H51" s="97">
        <v>57717.3</v>
      </c>
      <c r="I51" s="19"/>
      <c r="J51" s="278">
        <v>-145.49</v>
      </c>
      <c r="K51" s="278">
        <v>-57717.3</v>
      </c>
    </row>
    <row r="52" spans="1:11" ht="45" x14ac:dyDescent="0.25">
      <c r="A52" s="92" t="s">
        <v>273</v>
      </c>
      <c r="B52" s="92" t="s">
        <v>63</v>
      </c>
      <c r="C52" s="94" t="s">
        <v>107</v>
      </c>
      <c r="D52" s="95" t="s">
        <v>108</v>
      </c>
      <c r="E52" s="96" t="s">
        <v>66</v>
      </c>
      <c r="F52" s="97">
        <v>76.209999999999994</v>
      </c>
      <c r="G52" s="207">
        <v>559.51</v>
      </c>
      <c r="H52" s="97">
        <v>42640.3</v>
      </c>
      <c r="I52" s="19"/>
      <c r="J52" s="278">
        <v>-76.209999999999994</v>
      </c>
      <c r="K52" s="278">
        <v>-42640.3</v>
      </c>
    </row>
    <row r="53" spans="1:11" ht="30" x14ac:dyDescent="0.25">
      <c r="A53" s="92" t="s">
        <v>153</v>
      </c>
      <c r="B53" s="92" t="s">
        <v>63</v>
      </c>
      <c r="C53" s="94" t="s">
        <v>83</v>
      </c>
      <c r="D53" s="95" t="s">
        <v>84</v>
      </c>
      <c r="E53" s="96" t="s">
        <v>85</v>
      </c>
      <c r="F53" s="97">
        <v>71.66</v>
      </c>
      <c r="G53" s="207">
        <v>183.8</v>
      </c>
      <c r="H53" s="97">
        <v>13171.1</v>
      </c>
      <c r="I53" s="19"/>
      <c r="J53" s="278">
        <v>-8.8678400000000011</v>
      </c>
      <c r="K53" s="278">
        <v>-1629.9089920000004</v>
      </c>
    </row>
    <row r="54" spans="1:11" ht="45" x14ac:dyDescent="0.25">
      <c r="A54" s="92" t="s">
        <v>156</v>
      </c>
      <c r="B54" s="92" t="s">
        <v>63</v>
      </c>
      <c r="C54" s="94" t="s">
        <v>87</v>
      </c>
      <c r="D54" s="95" t="s">
        <v>88</v>
      </c>
      <c r="E54" s="96" t="s">
        <v>85</v>
      </c>
      <c r="F54" s="97">
        <v>38.130000000000003</v>
      </c>
      <c r="G54" s="207">
        <v>257.77999999999997</v>
      </c>
      <c r="H54" s="97">
        <v>9829.2000000000007</v>
      </c>
      <c r="I54" s="19"/>
      <c r="J54" s="278">
        <v>-8.8678400000000011</v>
      </c>
      <c r="K54" s="278">
        <v>-2285.9517952000001</v>
      </c>
    </row>
    <row r="56" spans="1:11" x14ac:dyDescent="0.25">
      <c r="A56" s="19"/>
      <c r="B56" s="19"/>
      <c r="C56" s="455" t="s">
        <v>355</v>
      </c>
      <c r="D56" s="456"/>
      <c r="E56" s="456"/>
      <c r="F56" s="456"/>
      <c r="G56" s="64"/>
      <c r="H56" s="19"/>
      <c r="I56" s="19"/>
      <c r="J56" s="19"/>
      <c r="K56" s="19"/>
    </row>
    <row r="57" spans="1:11" ht="24" x14ac:dyDescent="0.25">
      <c r="A57" s="137" t="s">
        <v>39</v>
      </c>
      <c r="B57" s="66" t="s">
        <v>40</v>
      </c>
      <c r="C57" s="66" t="s">
        <v>41</v>
      </c>
      <c r="D57" s="66" t="s">
        <v>42</v>
      </c>
      <c r="E57" s="66" t="s">
        <v>43</v>
      </c>
      <c r="F57" s="66" t="s">
        <v>44</v>
      </c>
      <c r="G57" s="67" t="s">
        <v>45</v>
      </c>
      <c r="H57" s="68" t="s">
        <v>46</v>
      </c>
      <c r="I57" s="81"/>
      <c r="J57" s="452" t="s">
        <v>345</v>
      </c>
      <c r="K57" s="453"/>
    </row>
    <row r="58" spans="1:11" ht="15.75" x14ac:dyDescent="0.25">
      <c r="A58" s="72"/>
      <c r="B58" s="88" t="s">
        <v>48</v>
      </c>
      <c r="C58" s="74" t="s">
        <v>49</v>
      </c>
      <c r="D58" s="74" t="s">
        <v>50</v>
      </c>
      <c r="E58" s="72"/>
      <c r="F58" s="72"/>
      <c r="G58" s="75"/>
      <c r="H58" s="76"/>
      <c r="I58" s="72"/>
      <c r="J58" s="277" t="s">
        <v>60</v>
      </c>
      <c r="K58" s="277" t="s">
        <v>61</v>
      </c>
    </row>
    <row r="59" spans="1:11" ht="30" x14ac:dyDescent="0.25">
      <c r="A59" s="92" t="s">
        <v>62</v>
      </c>
      <c r="B59" s="92" t="s">
        <v>63</v>
      </c>
      <c r="C59" s="94" t="s">
        <v>64</v>
      </c>
      <c r="D59" s="95" t="s">
        <v>65</v>
      </c>
      <c r="E59" s="96" t="s">
        <v>66</v>
      </c>
      <c r="F59" s="97">
        <v>8.4</v>
      </c>
      <c r="G59" s="207">
        <v>55.24</v>
      </c>
      <c r="H59" s="97">
        <v>464</v>
      </c>
      <c r="I59" s="19"/>
      <c r="J59" s="278">
        <v>-8.4</v>
      </c>
      <c r="K59" s="278">
        <v>-464.01600000000002</v>
      </c>
    </row>
    <row r="60" spans="1:11" ht="30" x14ac:dyDescent="0.25">
      <c r="A60" s="92" t="s">
        <v>264</v>
      </c>
      <c r="B60" s="92" t="s">
        <v>63</v>
      </c>
      <c r="C60" s="94" t="s">
        <v>276</v>
      </c>
      <c r="D60" s="95" t="s">
        <v>277</v>
      </c>
      <c r="E60" s="96" t="s">
        <v>66</v>
      </c>
      <c r="F60" s="97">
        <v>172.39</v>
      </c>
      <c r="G60" s="207">
        <v>86.36</v>
      </c>
      <c r="H60" s="97">
        <v>14887.6</v>
      </c>
      <c r="I60" s="19"/>
      <c r="J60" s="278">
        <v>-172.39</v>
      </c>
      <c r="K60" s="278">
        <v>-14887.6</v>
      </c>
    </row>
    <row r="61" spans="1:11" ht="30" x14ac:dyDescent="0.25">
      <c r="A61" s="92" t="s">
        <v>267</v>
      </c>
      <c r="B61" s="92" t="s">
        <v>63</v>
      </c>
      <c r="C61" s="94" t="s">
        <v>102</v>
      </c>
      <c r="D61" s="95" t="s">
        <v>103</v>
      </c>
      <c r="E61" s="96" t="s">
        <v>66</v>
      </c>
      <c r="F61" s="97">
        <v>4.4000000000000004</v>
      </c>
      <c r="G61" s="207">
        <v>14.18</v>
      </c>
      <c r="H61" s="97">
        <v>62.4</v>
      </c>
      <c r="I61" s="19"/>
      <c r="J61" s="278">
        <v>-4.4000000000000004</v>
      </c>
      <c r="K61" s="278">
        <v>-62.4</v>
      </c>
    </row>
    <row r="62" spans="1:11" ht="30" x14ac:dyDescent="0.25">
      <c r="A62" s="92" t="s">
        <v>270</v>
      </c>
      <c r="B62" s="92" t="s">
        <v>63</v>
      </c>
      <c r="C62" s="94" t="s">
        <v>75</v>
      </c>
      <c r="D62" s="95" t="s">
        <v>76</v>
      </c>
      <c r="E62" s="96" t="s">
        <v>66</v>
      </c>
      <c r="F62" s="97">
        <v>8.4</v>
      </c>
      <c r="G62" s="207">
        <v>20.62</v>
      </c>
      <c r="H62" s="97">
        <v>173.2</v>
      </c>
      <c r="I62" s="19"/>
      <c r="J62" s="278">
        <v>-8.4</v>
      </c>
      <c r="K62" s="278">
        <v>-173.2</v>
      </c>
    </row>
    <row r="63" spans="1:11" ht="45" x14ac:dyDescent="0.25">
      <c r="A63" s="92" t="s">
        <v>179</v>
      </c>
      <c r="B63" s="92" t="s">
        <v>63</v>
      </c>
      <c r="C63" s="94" t="s">
        <v>78</v>
      </c>
      <c r="D63" s="95" t="s">
        <v>79</v>
      </c>
      <c r="E63" s="96" t="s">
        <v>66</v>
      </c>
      <c r="F63" s="97">
        <v>8.4</v>
      </c>
      <c r="G63" s="207">
        <v>396.71</v>
      </c>
      <c r="H63" s="97">
        <v>3332.4</v>
      </c>
      <c r="I63" s="19"/>
      <c r="J63" s="278">
        <v>-8.4</v>
      </c>
      <c r="K63" s="278">
        <v>-3332.4</v>
      </c>
    </row>
    <row r="64" spans="1:11" ht="45" x14ac:dyDescent="0.25">
      <c r="A64" s="92" t="s">
        <v>273</v>
      </c>
      <c r="B64" s="92" t="s">
        <v>63</v>
      </c>
      <c r="C64" s="94" t="s">
        <v>107</v>
      </c>
      <c r="D64" s="95" t="s">
        <v>108</v>
      </c>
      <c r="E64" s="96" t="s">
        <v>66</v>
      </c>
      <c r="F64" s="97">
        <v>4.4000000000000004</v>
      </c>
      <c r="G64" s="207">
        <v>559.51</v>
      </c>
      <c r="H64" s="97">
        <v>2461.8000000000002</v>
      </c>
      <c r="I64" s="19"/>
      <c r="J64" s="278">
        <v>-4.4000000000000004</v>
      </c>
      <c r="K64" s="278">
        <v>-2461.8000000000002</v>
      </c>
    </row>
    <row r="65" spans="1:11" ht="30" x14ac:dyDescent="0.25">
      <c r="A65" s="92" t="s">
        <v>153</v>
      </c>
      <c r="B65" s="92" t="s">
        <v>63</v>
      </c>
      <c r="C65" s="94" t="s">
        <v>83</v>
      </c>
      <c r="D65" s="95" t="s">
        <v>84</v>
      </c>
      <c r="E65" s="96" t="s">
        <v>85</v>
      </c>
      <c r="F65" s="97">
        <v>179.98</v>
      </c>
      <c r="G65" s="207">
        <v>82.62</v>
      </c>
      <c r="H65" s="97">
        <v>14869.9</v>
      </c>
      <c r="I65" s="19"/>
      <c r="J65" s="278">
        <v>-1.0752000000000002</v>
      </c>
      <c r="K65" s="278">
        <v>-88.833024000000023</v>
      </c>
    </row>
    <row r="66" spans="1:11" ht="45" x14ac:dyDescent="0.25">
      <c r="A66" s="92" t="s">
        <v>156</v>
      </c>
      <c r="B66" s="92" t="s">
        <v>63</v>
      </c>
      <c r="C66" s="94" t="s">
        <v>87</v>
      </c>
      <c r="D66" s="95" t="s">
        <v>88</v>
      </c>
      <c r="E66" s="96" t="s">
        <v>85</v>
      </c>
      <c r="F66" s="97">
        <v>2.21</v>
      </c>
      <c r="G66" s="207">
        <v>257.77999999999997</v>
      </c>
      <c r="H66" s="97">
        <v>569.70000000000005</v>
      </c>
      <c r="I66" s="19"/>
      <c r="J66" s="278">
        <v>-1.0752000000000002</v>
      </c>
      <c r="K66" s="278">
        <v>-277.16505599999999</v>
      </c>
    </row>
    <row r="68" spans="1:11" ht="15.75" x14ac:dyDescent="0.25">
      <c r="A68" s="19"/>
      <c r="B68" s="19"/>
      <c r="C68" s="280" t="s">
        <v>356</v>
      </c>
      <c r="D68" s="19"/>
      <c r="E68" s="19"/>
      <c r="F68" s="19"/>
      <c r="G68" s="64"/>
      <c r="H68" s="19"/>
      <c r="I68" s="19"/>
      <c r="J68" s="19"/>
      <c r="K68" s="19"/>
    </row>
    <row r="69" spans="1:11" ht="24" x14ac:dyDescent="0.25">
      <c r="A69" s="137" t="s">
        <v>39</v>
      </c>
      <c r="B69" s="66" t="s">
        <v>40</v>
      </c>
      <c r="C69" s="66" t="s">
        <v>41</v>
      </c>
      <c r="D69" s="66" t="s">
        <v>42</v>
      </c>
      <c r="E69" s="66" t="s">
        <v>43</v>
      </c>
      <c r="F69" s="66" t="s">
        <v>44</v>
      </c>
      <c r="G69" s="67" t="s">
        <v>45</v>
      </c>
      <c r="H69" s="68" t="s">
        <v>46</v>
      </c>
      <c r="I69" s="81"/>
      <c r="J69" s="452" t="s">
        <v>345</v>
      </c>
      <c r="K69" s="453"/>
    </row>
    <row r="70" spans="1:11" ht="15.75" x14ac:dyDescent="0.25">
      <c r="A70" s="72"/>
      <c r="B70" s="88" t="s">
        <v>48</v>
      </c>
      <c r="C70" s="74" t="s">
        <v>49</v>
      </c>
      <c r="D70" s="74" t="s">
        <v>50</v>
      </c>
      <c r="E70" s="72"/>
      <c r="F70" s="72"/>
      <c r="G70" s="75"/>
      <c r="H70" s="76"/>
      <c r="I70" s="72"/>
      <c r="J70" s="277" t="s">
        <v>60</v>
      </c>
      <c r="K70" s="277" t="s">
        <v>61</v>
      </c>
    </row>
    <row r="71" spans="1:11" ht="30" x14ac:dyDescent="0.25">
      <c r="A71" s="92" t="s">
        <v>184</v>
      </c>
      <c r="B71" s="92" t="s">
        <v>63</v>
      </c>
      <c r="C71" s="94" t="s">
        <v>64</v>
      </c>
      <c r="D71" s="95" t="s">
        <v>65</v>
      </c>
      <c r="E71" s="96" t="s">
        <v>66</v>
      </c>
      <c r="F71" s="97">
        <v>355.61</v>
      </c>
      <c r="G71" s="207">
        <v>55.24</v>
      </c>
      <c r="H71" s="97">
        <v>19643.900000000001</v>
      </c>
      <c r="I71" s="19"/>
      <c r="J71" s="278">
        <v>-169.34</v>
      </c>
      <c r="K71" s="278">
        <v>-9354.3415999999997</v>
      </c>
    </row>
    <row r="72" spans="1:11" ht="30" x14ac:dyDescent="0.25">
      <c r="A72" s="92" t="s">
        <v>257</v>
      </c>
      <c r="B72" s="92" t="s">
        <v>63</v>
      </c>
      <c r="C72" s="94" t="s">
        <v>274</v>
      </c>
      <c r="D72" s="95" t="s">
        <v>275</v>
      </c>
      <c r="E72" s="96" t="s">
        <v>66</v>
      </c>
      <c r="F72" s="97">
        <v>186.27</v>
      </c>
      <c r="G72" s="207">
        <v>302.54000000000002</v>
      </c>
      <c r="H72" s="97">
        <v>56354.1</v>
      </c>
      <c r="I72" s="19"/>
      <c r="J72" s="278">
        <v>-186.27</v>
      </c>
      <c r="K72" s="278">
        <v>-56354.1</v>
      </c>
    </row>
    <row r="73" spans="1:11" ht="30" x14ac:dyDescent="0.25">
      <c r="A73" s="92" t="s">
        <v>260</v>
      </c>
      <c r="B73" s="92" t="s">
        <v>63</v>
      </c>
      <c r="C73" s="94" t="s">
        <v>102</v>
      </c>
      <c r="D73" s="95" t="s">
        <v>103</v>
      </c>
      <c r="E73" s="96" t="s">
        <v>66</v>
      </c>
      <c r="F73" s="97">
        <v>186.27</v>
      </c>
      <c r="G73" s="207">
        <v>14.18</v>
      </c>
      <c r="H73" s="97">
        <v>2641.3</v>
      </c>
      <c r="I73" s="19"/>
      <c r="J73" s="278">
        <v>-186.27</v>
      </c>
      <c r="K73" s="278">
        <v>-2641.3</v>
      </c>
    </row>
    <row r="74" spans="1:11" ht="30" x14ac:dyDescent="0.25">
      <c r="A74" s="92" t="s">
        <v>264</v>
      </c>
      <c r="B74" s="92" t="s">
        <v>63</v>
      </c>
      <c r="C74" s="94" t="s">
        <v>75</v>
      </c>
      <c r="D74" s="95" t="s">
        <v>76</v>
      </c>
      <c r="E74" s="96" t="s">
        <v>66</v>
      </c>
      <c r="F74" s="97">
        <v>355.61</v>
      </c>
      <c r="G74" s="207">
        <v>20.62</v>
      </c>
      <c r="H74" s="97">
        <v>7332.7</v>
      </c>
      <c r="I74" s="19"/>
      <c r="J74" s="278">
        <v>-355.61</v>
      </c>
      <c r="K74" s="278">
        <v>-7332.7</v>
      </c>
    </row>
    <row r="75" spans="1:11" ht="45" x14ac:dyDescent="0.25">
      <c r="A75" s="92" t="s">
        <v>267</v>
      </c>
      <c r="B75" s="92" t="s">
        <v>63</v>
      </c>
      <c r="C75" s="94" t="s">
        <v>78</v>
      </c>
      <c r="D75" s="95" t="s">
        <v>79</v>
      </c>
      <c r="E75" s="96" t="s">
        <v>66</v>
      </c>
      <c r="F75" s="97">
        <v>355.61</v>
      </c>
      <c r="G75" s="207">
        <v>396.71</v>
      </c>
      <c r="H75" s="97">
        <v>141074</v>
      </c>
      <c r="I75" s="19"/>
      <c r="J75" s="278">
        <v>-355.61</v>
      </c>
      <c r="K75" s="278">
        <v>-141074</v>
      </c>
    </row>
    <row r="76" spans="1:11" ht="45" x14ac:dyDescent="0.25">
      <c r="A76" s="92" t="s">
        <v>270</v>
      </c>
      <c r="B76" s="92" t="s">
        <v>63</v>
      </c>
      <c r="C76" s="94" t="s">
        <v>107</v>
      </c>
      <c r="D76" s="95" t="s">
        <v>108</v>
      </c>
      <c r="E76" s="96" t="s">
        <v>66</v>
      </c>
      <c r="F76" s="97">
        <v>186.27</v>
      </c>
      <c r="G76" s="207">
        <v>559.51</v>
      </c>
      <c r="H76" s="97">
        <v>104219.9</v>
      </c>
      <c r="I76" s="19"/>
      <c r="J76" s="278">
        <v>-186.27</v>
      </c>
      <c r="K76" s="278">
        <v>-104219.9</v>
      </c>
    </row>
    <row r="77" spans="1:11" ht="30" x14ac:dyDescent="0.25">
      <c r="A77" s="92" t="s">
        <v>302</v>
      </c>
      <c r="B77" s="92" t="s">
        <v>63</v>
      </c>
      <c r="C77" s="94" t="s">
        <v>83</v>
      </c>
      <c r="D77" s="95" t="s">
        <v>84</v>
      </c>
      <c r="E77" s="96" t="s">
        <v>85</v>
      </c>
      <c r="F77" s="97">
        <v>175.16</v>
      </c>
      <c r="G77" s="207">
        <v>183.82</v>
      </c>
      <c r="H77" s="97">
        <v>32197.9</v>
      </c>
      <c r="I77" s="19"/>
      <c r="J77" s="278">
        <v>-21.675520000000002</v>
      </c>
      <c r="K77" s="278">
        <v>-3984.3940864000001</v>
      </c>
    </row>
    <row r="78" spans="1:11" ht="45" x14ac:dyDescent="0.25">
      <c r="A78" s="92" t="s">
        <v>305</v>
      </c>
      <c r="B78" s="92" t="s">
        <v>63</v>
      </c>
      <c r="C78" s="94" t="s">
        <v>87</v>
      </c>
      <c r="D78" s="95" t="s">
        <v>88</v>
      </c>
      <c r="E78" s="96" t="s">
        <v>85</v>
      </c>
      <c r="F78" s="97">
        <v>93.21</v>
      </c>
      <c r="G78" s="207">
        <v>257.77999999999997</v>
      </c>
      <c r="H78" s="97">
        <v>24027.7</v>
      </c>
      <c r="I78" s="19"/>
      <c r="J78" s="278">
        <v>-21.675520000000002</v>
      </c>
      <c r="K78" s="278">
        <v>-5587.5155456000002</v>
      </c>
    </row>
    <row r="80" spans="1:11" x14ac:dyDescent="0.25">
      <c r="D80" s="420" t="s">
        <v>17</v>
      </c>
      <c r="K80" s="417">
        <f>SUM(K71:K78,K59:K66,K48:K54,K37:K43,K25:K32,K14:K20)</f>
        <v>-1048101.5499888001</v>
      </c>
    </row>
    <row r="82" spans="1:10" ht="15.75" x14ac:dyDescent="0.25">
      <c r="A82" s="381"/>
      <c r="B82" s="31" t="s">
        <v>18</v>
      </c>
      <c r="D82" s="35" t="s">
        <v>529</v>
      </c>
      <c r="E82" s="382"/>
      <c r="F82" s="381"/>
      <c r="G82" s="35" t="s">
        <v>20</v>
      </c>
      <c r="H82" s="376"/>
      <c r="I82" s="383"/>
      <c r="J82" s="36" t="s">
        <v>22</v>
      </c>
    </row>
    <row r="83" spans="1:10" ht="15.75" x14ac:dyDescent="0.25">
      <c r="A83" s="381"/>
      <c r="B83" s="31"/>
      <c r="D83" s="35"/>
      <c r="E83" s="382"/>
      <c r="F83" s="381"/>
      <c r="G83" s="384"/>
      <c r="H83" s="376"/>
      <c r="I83" s="383"/>
      <c r="J83" s="36"/>
    </row>
    <row r="84" spans="1:10" ht="15.75" x14ac:dyDescent="0.25">
      <c r="A84" s="381"/>
      <c r="B84" s="31" t="s">
        <v>19</v>
      </c>
      <c r="D84" s="31" t="s">
        <v>530</v>
      </c>
      <c r="E84" s="382"/>
      <c r="F84" s="381"/>
      <c r="G84" s="31" t="s">
        <v>19</v>
      </c>
      <c r="H84" s="376"/>
      <c r="I84" s="383"/>
      <c r="J84" s="31" t="s">
        <v>19</v>
      </c>
    </row>
  </sheetData>
  <mergeCells count="8">
    <mergeCell ref="J57:K57"/>
    <mergeCell ref="J69:K69"/>
    <mergeCell ref="J12:K12"/>
    <mergeCell ref="C22:F22"/>
    <mergeCell ref="J23:K23"/>
    <mergeCell ref="J35:K35"/>
    <mergeCell ref="J46:K46"/>
    <mergeCell ref="C56:F56"/>
  </mergeCells>
  <conditionalFormatting sqref="AB1:AH1 A1:Z1">
    <cfRule type="cellIs" dxfId="11" priority="3" stopIfTrue="1" operator="lessThan">
      <formula>0</formula>
    </cfRule>
  </conditionalFormatting>
  <conditionalFormatting sqref="E3">
    <cfRule type="cellIs" dxfId="10" priority="1" stopIfTrue="1" operator="lessThan">
      <formula>0</formula>
    </cfRule>
  </conditionalFormatting>
  <pageMargins left="0.7" right="0.7" top="0.78740157499999996" bottom="0.78740157499999996" header="0.3" footer="0.3"/>
  <pageSetup paperSize="9" scale="91" orientation="landscape" r:id="rId1"/>
  <rowBreaks count="2" manualBreakCount="2">
    <brk id="21" max="10" man="1"/>
    <brk id="55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D611F-8F28-4DA5-863D-3A3377180290}">
  <dimension ref="A1:AC266"/>
  <sheetViews>
    <sheetView view="pageBreakPreview" topLeftCell="A209" zoomScale="60" zoomScaleNormal="90" workbookViewId="0">
      <selection activeCell="J53" sqref="J53:J58"/>
    </sheetView>
  </sheetViews>
  <sheetFormatPr defaultColWidth="9.140625" defaultRowHeight="12" x14ac:dyDescent="0.2"/>
  <cols>
    <col min="1" max="1" width="7.28515625" style="42" customWidth="1"/>
    <col min="2" max="2" width="12" style="42" customWidth="1"/>
    <col min="3" max="3" width="53.7109375" style="42" customWidth="1"/>
    <col min="4" max="4" width="6.140625" style="42" customWidth="1"/>
    <col min="5" max="5" width="10" style="304" bestFit="1" customWidth="1"/>
    <col min="6" max="6" width="15.7109375" style="357" customWidth="1"/>
    <col min="7" max="7" width="20.140625" style="306" bestFit="1" customWidth="1"/>
    <col min="8" max="8" width="9.7109375" style="307" customWidth="1"/>
    <col min="9" max="9" width="15.7109375" style="308" customWidth="1"/>
    <col min="10" max="10" width="19.5703125" style="300" bestFit="1" customWidth="1"/>
    <col min="11" max="11" width="14" style="301" bestFit="1" customWidth="1"/>
    <col min="12" max="12" width="15.7109375" style="301" customWidth="1"/>
    <col min="13" max="13" width="20.140625" style="302" bestFit="1" customWidth="1"/>
    <col min="14" max="14" width="9.140625" style="42"/>
    <col min="15" max="15" width="13.28515625" style="42" bestFit="1" customWidth="1"/>
    <col min="16" max="16384" width="9.140625" style="42"/>
  </cols>
  <sheetData>
    <row r="1" spans="1:29" ht="39" customHeight="1" x14ac:dyDescent="0.2">
      <c r="A1" s="38"/>
      <c r="B1" s="38"/>
      <c r="C1" s="38"/>
      <c r="D1" s="38"/>
      <c r="E1" s="39"/>
      <c r="F1" s="38"/>
      <c r="G1" s="40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ht="18" customHeight="1" x14ac:dyDescent="0.25">
      <c r="A2" s="4"/>
      <c r="B2" s="10"/>
      <c r="C2" s="2" t="s">
        <v>0</v>
      </c>
      <c r="D2" s="3" t="s">
        <v>1</v>
      </c>
      <c r="E2" s="283"/>
      <c r="F2" s="5"/>
      <c r="G2" s="6"/>
      <c r="H2" s="45"/>
      <c r="I2" s="45"/>
      <c r="J2" s="45"/>
      <c r="K2" s="46"/>
      <c r="L2" s="46"/>
      <c r="M2" s="46"/>
      <c r="N2" s="45"/>
      <c r="O2" s="45"/>
      <c r="P2" s="46"/>
      <c r="Q2" s="45"/>
      <c r="R2" s="46"/>
      <c r="S2" s="45"/>
      <c r="T2" s="46"/>
      <c r="U2" s="45"/>
      <c r="V2" s="46"/>
      <c r="W2" s="45"/>
      <c r="X2" s="46"/>
      <c r="Y2" s="45"/>
      <c r="Z2" s="49"/>
      <c r="AA2" s="50"/>
      <c r="AB2" s="51"/>
      <c r="AC2" s="52"/>
    </row>
    <row r="3" spans="1:29" ht="18" customHeight="1" x14ac:dyDescent="0.25">
      <c r="A3" s="4"/>
      <c r="B3" s="10"/>
      <c r="C3" s="2" t="s">
        <v>2</v>
      </c>
      <c r="D3" s="3" t="s">
        <v>547</v>
      </c>
      <c r="E3" s="283"/>
      <c r="F3" s="5"/>
      <c r="G3" s="6"/>
      <c r="H3" s="45"/>
      <c r="I3" s="45"/>
      <c r="J3" s="45"/>
      <c r="K3" s="46"/>
      <c r="L3" s="46"/>
      <c r="M3" s="46"/>
      <c r="N3" s="45"/>
      <c r="O3" s="45"/>
      <c r="P3" s="46"/>
      <c r="Q3" s="45"/>
      <c r="R3" s="46"/>
      <c r="S3" s="45"/>
      <c r="T3" s="46"/>
      <c r="U3" s="45"/>
      <c r="V3" s="46"/>
      <c r="W3" s="45"/>
      <c r="X3" s="46"/>
      <c r="Y3" s="45"/>
      <c r="Z3" s="49"/>
      <c r="AA3" s="50"/>
      <c r="AB3" s="51"/>
      <c r="AC3" s="52"/>
    </row>
    <row r="4" spans="1:29" ht="18" customHeight="1" x14ac:dyDescent="0.25">
      <c r="A4" s="4"/>
      <c r="B4" s="10"/>
      <c r="C4" s="7" t="s">
        <v>3</v>
      </c>
      <c r="D4" s="8" t="s">
        <v>4</v>
      </c>
      <c r="E4" s="283"/>
      <c r="F4" s="5"/>
      <c r="G4" s="6"/>
      <c r="H4" s="45"/>
      <c r="I4" s="45"/>
      <c r="J4" s="45"/>
      <c r="K4" s="46"/>
      <c r="L4" s="46"/>
      <c r="M4" s="46"/>
      <c r="N4" s="45"/>
      <c r="O4" s="45"/>
      <c r="P4" s="46"/>
      <c r="Q4" s="45"/>
      <c r="R4" s="46"/>
      <c r="S4" s="45"/>
      <c r="T4" s="46"/>
      <c r="U4" s="45"/>
      <c r="V4" s="46"/>
      <c r="W4" s="45"/>
      <c r="X4" s="46"/>
      <c r="Y4" s="45"/>
      <c r="Z4" s="49"/>
      <c r="AA4" s="50"/>
      <c r="AB4" s="51"/>
      <c r="AC4" s="52"/>
    </row>
    <row r="5" spans="1:29" ht="18" customHeight="1" x14ac:dyDescent="0.25">
      <c r="A5" s="10"/>
      <c r="B5" s="10"/>
      <c r="C5" s="7" t="s">
        <v>5</v>
      </c>
      <c r="D5" s="9" t="s">
        <v>6</v>
      </c>
      <c r="E5" s="284"/>
      <c r="F5" s="11"/>
      <c r="G5" s="6"/>
      <c r="H5" s="285"/>
      <c r="I5" s="285"/>
      <c r="J5" s="285"/>
      <c r="K5" s="286"/>
      <c r="L5" s="286"/>
      <c r="M5" s="286"/>
      <c r="N5" s="285"/>
      <c r="O5" s="285"/>
      <c r="P5" s="286"/>
      <c r="Q5" s="285"/>
      <c r="R5" s="286"/>
      <c r="S5" s="285"/>
      <c r="T5" s="286"/>
      <c r="U5" s="285"/>
      <c r="V5" s="286"/>
      <c r="W5" s="285"/>
      <c r="X5" s="286"/>
      <c r="Y5" s="285"/>
      <c r="Z5" s="287"/>
      <c r="AA5" s="288"/>
      <c r="AB5" s="289"/>
      <c r="AC5" s="290"/>
    </row>
    <row r="6" spans="1:29" ht="18" customHeight="1" x14ac:dyDescent="0.25">
      <c r="A6" s="10"/>
      <c r="B6" s="10"/>
      <c r="C6" s="2" t="s">
        <v>7</v>
      </c>
      <c r="D6" s="12" t="s">
        <v>8</v>
      </c>
      <c r="E6" s="284"/>
      <c r="F6" s="11"/>
      <c r="G6" s="6"/>
      <c r="H6" s="285"/>
      <c r="I6" s="285"/>
      <c r="J6" s="285"/>
      <c r="K6" s="286"/>
      <c r="L6" s="286"/>
      <c r="M6" s="286"/>
      <c r="N6" s="285"/>
      <c r="O6" s="285"/>
      <c r="P6" s="286"/>
      <c r="Q6" s="285"/>
      <c r="R6" s="286"/>
      <c r="S6" s="285"/>
      <c r="T6" s="286"/>
      <c r="U6" s="285"/>
      <c r="V6" s="286"/>
      <c r="W6" s="285"/>
      <c r="X6" s="286"/>
      <c r="Y6" s="285"/>
      <c r="Z6" s="287"/>
      <c r="AA6" s="288"/>
      <c r="AB6" s="289"/>
      <c r="AC6" s="290"/>
    </row>
    <row r="7" spans="1:29" ht="18" customHeight="1" x14ac:dyDescent="0.25">
      <c r="A7" s="10"/>
      <c r="B7" s="10"/>
      <c r="C7" s="2" t="s">
        <v>9</v>
      </c>
      <c r="D7" s="12" t="s">
        <v>10</v>
      </c>
      <c r="E7" s="284"/>
      <c r="F7" s="11"/>
      <c r="G7" s="6"/>
      <c r="H7" s="285"/>
      <c r="I7" s="285"/>
      <c r="J7" s="285"/>
      <c r="K7" s="286"/>
      <c r="L7" s="286"/>
      <c r="M7" s="286"/>
      <c r="N7" s="285"/>
      <c r="O7" s="285"/>
      <c r="P7" s="286"/>
      <c r="Q7" s="285"/>
      <c r="R7" s="286"/>
      <c r="S7" s="285"/>
      <c r="T7" s="286"/>
      <c r="U7" s="285"/>
      <c r="V7" s="286"/>
      <c r="W7" s="285"/>
      <c r="X7" s="286"/>
      <c r="Y7" s="285"/>
      <c r="Z7" s="287"/>
      <c r="AA7" s="288"/>
      <c r="AB7" s="289"/>
      <c r="AC7" s="290"/>
    </row>
    <row r="8" spans="1:29" ht="18" customHeight="1" x14ac:dyDescent="0.25">
      <c r="A8" s="10"/>
      <c r="B8" s="10"/>
      <c r="C8" s="2"/>
      <c r="D8" s="291"/>
      <c r="E8" s="284"/>
      <c r="F8" s="11"/>
      <c r="G8" s="6"/>
      <c r="H8" s="285"/>
      <c r="I8" s="285"/>
      <c r="J8" s="285"/>
      <c r="K8" s="286"/>
      <c r="L8" s="286"/>
      <c r="M8" s="286"/>
      <c r="N8" s="285"/>
      <c r="O8" s="285"/>
      <c r="P8" s="286"/>
      <c r="Q8" s="285"/>
      <c r="R8" s="286"/>
      <c r="S8" s="285"/>
      <c r="T8" s="286"/>
      <c r="U8" s="285"/>
      <c r="V8" s="286"/>
      <c r="W8" s="285"/>
      <c r="X8" s="286"/>
      <c r="Y8" s="285"/>
      <c r="Z8" s="287"/>
      <c r="AA8" s="288"/>
      <c r="AB8" s="289"/>
      <c r="AC8" s="290"/>
    </row>
    <row r="9" spans="1:29" ht="18" customHeight="1" x14ac:dyDescent="0.2">
      <c r="B9" s="292"/>
      <c r="C9" s="293"/>
      <c r="D9" s="294"/>
      <c r="E9" s="295"/>
      <c r="F9" s="296"/>
      <c r="G9" s="297"/>
      <c r="H9" s="298"/>
      <c r="I9" s="299"/>
    </row>
    <row r="10" spans="1:29" ht="18" customHeight="1" x14ac:dyDescent="0.25">
      <c r="B10" s="282" t="s">
        <v>357</v>
      </c>
      <c r="C10" s="303"/>
      <c r="F10" s="305"/>
    </row>
    <row r="11" spans="1:29" ht="18" customHeight="1" x14ac:dyDescent="0.2">
      <c r="B11" s="309"/>
      <c r="C11" s="309"/>
      <c r="D11" s="309"/>
      <c r="E11" s="310"/>
      <c r="F11" s="303"/>
      <c r="G11" s="311"/>
      <c r="H11" s="312"/>
      <c r="I11" s="313"/>
    </row>
    <row r="12" spans="1:29" ht="36.75" customHeight="1" x14ac:dyDescent="0.2">
      <c r="A12" s="457" t="s">
        <v>358</v>
      </c>
      <c r="B12" s="458"/>
      <c r="C12" s="458"/>
      <c r="D12" s="458"/>
      <c r="E12" s="310"/>
      <c r="F12" s="303"/>
      <c r="G12" s="311"/>
      <c r="H12" s="312"/>
      <c r="I12" s="313"/>
    </row>
    <row r="13" spans="1:29" ht="18" customHeight="1" x14ac:dyDescent="0.2">
      <c r="B13" s="309"/>
      <c r="C13" s="309"/>
      <c r="D13" s="309"/>
      <c r="E13" s="310"/>
      <c r="F13" s="303"/>
      <c r="G13" s="311"/>
      <c r="H13" s="312"/>
      <c r="I13" s="313"/>
    </row>
    <row r="14" spans="1:29" ht="24.95" customHeight="1" x14ac:dyDescent="0.2">
      <c r="A14" s="459" t="s">
        <v>359</v>
      </c>
      <c r="B14" s="459"/>
      <c r="C14" s="459"/>
      <c r="D14" s="309"/>
      <c r="E14" s="460" t="s">
        <v>360</v>
      </c>
      <c r="F14" s="460"/>
      <c r="G14" s="460"/>
      <c r="H14" s="460" t="s">
        <v>361</v>
      </c>
      <c r="I14" s="460"/>
      <c r="J14" s="460"/>
      <c r="K14" s="460" t="s">
        <v>16</v>
      </c>
      <c r="L14" s="460"/>
      <c r="M14" s="460"/>
    </row>
    <row r="15" spans="1:29" s="325" customFormat="1" ht="24" customHeight="1" x14ac:dyDescent="0.2">
      <c r="A15" s="314" t="s">
        <v>362</v>
      </c>
      <c r="B15" s="315" t="s">
        <v>42</v>
      </c>
      <c r="C15" s="314" t="s">
        <v>42</v>
      </c>
      <c r="D15" s="315" t="s">
        <v>43</v>
      </c>
      <c r="E15" s="316" t="s">
        <v>44</v>
      </c>
      <c r="F15" s="317" t="s">
        <v>363</v>
      </c>
      <c r="G15" s="318" t="s">
        <v>364</v>
      </c>
      <c r="H15" s="319" t="s">
        <v>44</v>
      </c>
      <c r="I15" s="320" t="s">
        <v>365</v>
      </c>
      <c r="J15" s="321" t="s">
        <v>364</v>
      </c>
      <c r="K15" s="322" t="s">
        <v>44</v>
      </c>
      <c r="L15" s="323" t="s">
        <v>365</v>
      </c>
      <c r="M15" s="324" t="s">
        <v>366</v>
      </c>
    </row>
    <row r="16" spans="1:29" s="325" customFormat="1" ht="24" customHeight="1" x14ac:dyDescent="0.2">
      <c r="A16" s="326" t="s">
        <v>51</v>
      </c>
      <c r="B16" s="327" t="s">
        <v>52</v>
      </c>
      <c r="C16" s="328"/>
      <c r="D16" s="328"/>
      <c r="E16" s="329"/>
      <c r="F16" s="330"/>
      <c r="G16" s="331"/>
      <c r="H16" s="332"/>
      <c r="I16" s="332"/>
      <c r="J16" s="332"/>
      <c r="K16" s="331"/>
      <c r="L16" s="331"/>
      <c r="M16" s="331"/>
    </row>
    <row r="17" spans="1:15" s="345" customFormat="1" ht="31.15" customHeight="1" x14ac:dyDescent="0.2">
      <c r="A17" s="333" t="s">
        <v>172</v>
      </c>
      <c r="B17" s="334" t="s">
        <v>367</v>
      </c>
      <c r="C17" s="335" t="s">
        <v>368</v>
      </c>
      <c r="D17" s="309" t="s">
        <v>290</v>
      </c>
      <c r="E17" s="336">
        <v>5</v>
      </c>
      <c r="F17" s="337">
        <v>1720.31</v>
      </c>
      <c r="G17" s="338">
        <f>ROUND(F17*E17,1)</f>
        <v>8601.6</v>
      </c>
      <c r="H17" s="339"/>
      <c r="I17" s="340">
        <f>F17</f>
        <v>1720.31</v>
      </c>
      <c r="J17" s="341">
        <f>ROUND(I17*H17,1)</f>
        <v>0</v>
      </c>
      <c r="K17" s="342">
        <f t="shared" ref="K17:K80" si="0">+E17+H17</f>
        <v>5</v>
      </c>
      <c r="L17" s="343">
        <f t="shared" ref="L17:L80" si="1">+I17</f>
        <v>1720.31</v>
      </c>
      <c r="M17" s="344">
        <f>ROUND(L17*K17,1)</f>
        <v>8601.6</v>
      </c>
    </row>
    <row r="18" spans="1:15" s="345" customFormat="1" ht="31.15" customHeight="1" x14ac:dyDescent="0.2">
      <c r="A18" s="333" t="s">
        <v>184</v>
      </c>
      <c r="B18" s="334" t="s">
        <v>187</v>
      </c>
      <c r="C18" s="335" t="s">
        <v>188</v>
      </c>
      <c r="D18" s="309" t="s">
        <v>66</v>
      </c>
      <c r="E18" s="336">
        <v>352.17</v>
      </c>
      <c r="F18" s="337">
        <v>40.770000000000003</v>
      </c>
      <c r="G18" s="338">
        <f>ROUND(F18*E18,1)</f>
        <v>14358</v>
      </c>
      <c r="H18" s="339">
        <f>-48.13*1.1+(2-1.1)*3.3</f>
        <v>-49.973000000000006</v>
      </c>
      <c r="I18" s="340">
        <f t="shared" ref="I18:I80" si="2">F18</f>
        <v>40.770000000000003</v>
      </c>
      <c r="J18" s="341">
        <f>H18*I18</f>
        <v>-2037.3992100000005</v>
      </c>
      <c r="K18" s="342">
        <f t="shared" si="0"/>
        <v>302.197</v>
      </c>
      <c r="L18" s="343">
        <f t="shared" si="1"/>
        <v>40.770000000000003</v>
      </c>
      <c r="M18" s="344">
        <f>ROUND(L18*K18,1)</f>
        <v>12320.6</v>
      </c>
    </row>
    <row r="19" spans="1:15" s="345" customFormat="1" x14ac:dyDescent="0.2">
      <c r="A19" s="333"/>
      <c r="B19" s="334" t="s">
        <v>68</v>
      </c>
      <c r="C19" s="346" t="s">
        <v>369</v>
      </c>
      <c r="D19" s="309"/>
      <c r="E19" s="336">
        <v>352.17</v>
      </c>
      <c r="F19" s="337"/>
      <c r="G19" s="338"/>
      <c r="H19" s="339"/>
      <c r="I19" s="340"/>
      <c r="J19" s="341"/>
      <c r="K19" s="342"/>
      <c r="L19" s="343"/>
      <c r="M19" s="344"/>
    </row>
    <row r="20" spans="1:15" s="345" customFormat="1" x14ac:dyDescent="0.2">
      <c r="A20" s="99"/>
      <c r="B20" s="100" t="s">
        <v>68</v>
      </c>
      <c r="C20" s="347" t="s">
        <v>370</v>
      </c>
      <c r="D20" s="99"/>
      <c r="E20" s="102">
        <v>0</v>
      </c>
      <c r="F20" s="103"/>
      <c r="G20" s="338"/>
      <c r="H20" s="339"/>
      <c r="I20" s="340"/>
      <c r="J20" s="341"/>
      <c r="K20" s="342"/>
      <c r="L20" s="343"/>
      <c r="M20" s="344"/>
      <c r="O20" s="348"/>
    </row>
    <row r="21" spans="1:15" s="345" customFormat="1" x14ac:dyDescent="0.2">
      <c r="A21" s="104"/>
      <c r="B21" s="334" t="s">
        <v>68</v>
      </c>
      <c r="C21" s="335" t="s">
        <v>71</v>
      </c>
      <c r="D21" s="309"/>
      <c r="E21" s="336">
        <v>352.17</v>
      </c>
      <c r="F21" s="337"/>
      <c r="G21" s="338"/>
      <c r="H21" s="339"/>
      <c r="I21" s="340"/>
      <c r="J21" s="341"/>
      <c r="K21" s="342"/>
      <c r="L21" s="343"/>
      <c r="M21" s="344"/>
      <c r="N21" s="344"/>
      <c r="O21" s="348"/>
    </row>
    <row r="22" spans="1:15" s="345" customFormat="1" ht="31.15" customHeight="1" x14ac:dyDescent="0.2">
      <c r="A22" s="333" t="s">
        <v>62</v>
      </c>
      <c r="B22" s="334" t="s">
        <v>64</v>
      </c>
      <c r="C22" s="335" t="s">
        <v>65</v>
      </c>
      <c r="D22" s="309" t="s">
        <v>66</v>
      </c>
      <c r="E22" s="336">
        <v>669.62</v>
      </c>
      <c r="F22" s="337">
        <v>55.24</v>
      </c>
      <c r="G22" s="338">
        <f>ROUND(F22*E22,1)</f>
        <v>36989.800000000003</v>
      </c>
      <c r="H22" s="339">
        <v>0</v>
      </c>
      <c r="I22" s="340">
        <f t="shared" si="2"/>
        <v>55.24</v>
      </c>
      <c r="J22" s="341">
        <f t="shared" ref="J19:J82" si="3">H22*I22</f>
        <v>0</v>
      </c>
      <c r="K22" s="342">
        <f t="shared" si="0"/>
        <v>669.62</v>
      </c>
      <c r="L22" s="343">
        <f t="shared" si="1"/>
        <v>55.24</v>
      </c>
      <c r="M22" s="344">
        <f>ROUND(L22*K22,1)</f>
        <v>36989.800000000003</v>
      </c>
    </row>
    <row r="23" spans="1:15" s="345" customFormat="1" x14ac:dyDescent="0.2">
      <c r="A23" s="99"/>
      <c r="B23" s="105" t="s">
        <v>68</v>
      </c>
      <c r="C23" s="106" t="s">
        <v>69</v>
      </c>
      <c r="D23" s="104"/>
      <c r="E23" s="107">
        <v>669.62</v>
      </c>
      <c r="F23" s="108"/>
      <c r="G23" s="338"/>
      <c r="H23" s="339"/>
      <c r="I23" s="340"/>
      <c r="J23" s="341"/>
      <c r="K23" s="342"/>
      <c r="L23" s="343"/>
      <c r="M23" s="344"/>
      <c r="O23" s="348"/>
    </row>
    <row r="24" spans="1:15" s="345" customFormat="1" x14ac:dyDescent="0.2">
      <c r="A24" s="99"/>
      <c r="B24" s="105" t="s">
        <v>68</v>
      </c>
      <c r="C24" s="347" t="s">
        <v>70</v>
      </c>
      <c r="D24" s="104"/>
      <c r="E24" s="107">
        <v>0</v>
      </c>
      <c r="F24" s="108"/>
      <c r="G24" s="338"/>
      <c r="H24" s="339"/>
      <c r="I24" s="340"/>
      <c r="J24" s="341"/>
      <c r="K24" s="342"/>
      <c r="L24" s="343"/>
      <c r="M24" s="344"/>
      <c r="O24" s="348"/>
    </row>
    <row r="25" spans="1:15" s="345" customFormat="1" x14ac:dyDescent="0.2">
      <c r="A25" s="104"/>
      <c r="B25" s="334" t="s">
        <v>68</v>
      </c>
      <c r="C25" s="335" t="s">
        <v>71</v>
      </c>
      <c r="D25" s="309"/>
      <c r="E25" s="336">
        <v>669.62</v>
      </c>
      <c r="F25" s="337"/>
      <c r="G25" s="338"/>
      <c r="H25" s="339"/>
      <c r="I25" s="340"/>
      <c r="J25" s="341"/>
      <c r="K25" s="342"/>
      <c r="L25" s="343"/>
      <c r="M25" s="344"/>
      <c r="N25" s="344"/>
      <c r="O25" s="348"/>
    </row>
    <row r="26" spans="1:15" s="345" customFormat="1" ht="31.15" customHeight="1" x14ac:dyDescent="0.2">
      <c r="A26" s="333" t="s">
        <v>72</v>
      </c>
      <c r="B26" s="334" t="s">
        <v>193</v>
      </c>
      <c r="C26" s="335" t="s">
        <v>194</v>
      </c>
      <c r="D26" s="309" t="s">
        <v>66</v>
      </c>
      <c r="E26" s="336">
        <v>352.17</v>
      </c>
      <c r="F26" s="337">
        <v>98.64</v>
      </c>
      <c r="G26" s="338">
        <f>ROUND(F26*E26,1)</f>
        <v>34738</v>
      </c>
      <c r="H26" s="339">
        <f>H18</f>
        <v>-49.973000000000006</v>
      </c>
      <c r="I26" s="340">
        <f t="shared" si="2"/>
        <v>98.64</v>
      </c>
      <c r="J26" s="341">
        <f t="shared" si="3"/>
        <v>-4929.3367200000002</v>
      </c>
      <c r="K26" s="342">
        <f t="shared" si="0"/>
        <v>302.197</v>
      </c>
      <c r="L26" s="343">
        <f t="shared" si="1"/>
        <v>98.64</v>
      </c>
      <c r="M26" s="344">
        <f>ROUND(L26*K26,1)</f>
        <v>29808.7</v>
      </c>
    </row>
    <row r="27" spans="1:15" s="345" customFormat="1" x14ac:dyDescent="0.2">
      <c r="A27" s="99"/>
      <c r="B27" s="100" t="s">
        <v>68</v>
      </c>
      <c r="C27" s="101" t="s">
        <v>369</v>
      </c>
      <c r="D27" s="99"/>
      <c r="E27" s="102">
        <v>352.17</v>
      </c>
      <c r="F27" s="103"/>
      <c r="G27" s="338"/>
      <c r="H27" s="339"/>
      <c r="I27" s="340"/>
      <c r="J27" s="341"/>
      <c r="K27" s="342"/>
      <c r="L27" s="343"/>
      <c r="M27" s="344"/>
      <c r="O27" s="348"/>
    </row>
    <row r="28" spans="1:15" s="345" customFormat="1" x14ac:dyDescent="0.2">
      <c r="A28" s="99"/>
      <c r="B28" s="334" t="s">
        <v>68</v>
      </c>
      <c r="C28" s="335" t="s">
        <v>370</v>
      </c>
      <c r="D28" s="309"/>
      <c r="E28" s="336">
        <v>0</v>
      </c>
      <c r="F28" s="337"/>
      <c r="G28" s="338"/>
      <c r="H28" s="339"/>
      <c r="I28" s="340"/>
      <c r="J28" s="341"/>
      <c r="K28" s="342"/>
      <c r="L28" s="343"/>
      <c r="M28" s="344"/>
      <c r="N28" s="344"/>
      <c r="O28" s="348"/>
    </row>
    <row r="29" spans="1:15" s="345" customFormat="1" x14ac:dyDescent="0.2">
      <c r="A29" s="104"/>
      <c r="B29" s="334" t="s">
        <v>68</v>
      </c>
      <c r="C29" s="335" t="s">
        <v>71</v>
      </c>
      <c r="D29" s="309"/>
      <c r="E29" s="336">
        <v>352.17</v>
      </c>
      <c r="F29" s="337"/>
      <c r="G29" s="338"/>
      <c r="H29" s="339"/>
      <c r="I29" s="340"/>
      <c r="J29" s="341"/>
      <c r="K29" s="342"/>
      <c r="L29" s="343"/>
      <c r="M29" s="344"/>
      <c r="N29" s="344"/>
      <c r="O29" s="348"/>
    </row>
    <row r="30" spans="1:15" s="345" customFormat="1" ht="31.15" customHeight="1" x14ac:dyDescent="0.2">
      <c r="A30" s="333" t="s">
        <v>100</v>
      </c>
      <c r="B30" s="334" t="s">
        <v>196</v>
      </c>
      <c r="C30" s="335" t="s">
        <v>197</v>
      </c>
      <c r="D30" s="309" t="s">
        <v>114</v>
      </c>
      <c r="E30" s="336">
        <v>5.5</v>
      </c>
      <c r="F30" s="337">
        <v>170.98</v>
      </c>
      <c r="G30" s="338">
        <f>ROUND(F30*E30,1)</f>
        <v>940.4</v>
      </c>
      <c r="H30" s="339"/>
      <c r="I30" s="340">
        <f t="shared" si="2"/>
        <v>170.98</v>
      </c>
      <c r="J30" s="341">
        <f t="shared" si="3"/>
        <v>0</v>
      </c>
      <c r="K30" s="342">
        <f t="shared" si="0"/>
        <v>5.5</v>
      </c>
      <c r="L30" s="343">
        <f t="shared" si="1"/>
        <v>170.98</v>
      </c>
      <c r="M30" s="344">
        <f>ROUND(L30*K30,1)</f>
        <v>940.4</v>
      </c>
    </row>
    <row r="31" spans="1:15" s="345" customFormat="1" x14ac:dyDescent="0.2">
      <c r="A31" s="99"/>
      <c r="B31" s="349" t="s">
        <v>68</v>
      </c>
      <c r="C31" s="350" t="s">
        <v>371</v>
      </c>
      <c r="D31" s="351"/>
      <c r="E31" s="349">
        <v>5.5</v>
      </c>
      <c r="F31" s="352"/>
      <c r="G31" s="338"/>
      <c r="H31" s="339"/>
      <c r="I31" s="340"/>
      <c r="J31" s="341"/>
      <c r="K31" s="342"/>
      <c r="L31" s="343"/>
      <c r="M31" s="344"/>
      <c r="O31" s="348"/>
    </row>
    <row r="32" spans="1:15" s="345" customFormat="1" ht="31.15" customHeight="1" x14ac:dyDescent="0.2">
      <c r="A32" s="333" t="s">
        <v>143</v>
      </c>
      <c r="B32" s="334" t="s">
        <v>199</v>
      </c>
      <c r="C32" s="335" t="s">
        <v>200</v>
      </c>
      <c r="D32" s="309" t="s">
        <v>114</v>
      </c>
      <c r="E32" s="336">
        <v>8.8000000000000007</v>
      </c>
      <c r="F32" s="337">
        <v>147.30000000000001</v>
      </c>
      <c r="G32" s="338">
        <f>ROUND(F32*E32,1)</f>
        <v>1296.2</v>
      </c>
      <c r="H32" s="339"/>
      <c r="I32" s="340">
        <f t="shared" si="2"/>
        <v>147.30000000000001</v>
      </c>
      <c r="J32" s="341">
        <f t="shared" si="3"/>
        <v>0</v>
      </c>
      <c r="K32" s="342">
        <f t="shared" si="0"/>
        <v>8.8000000000000007</v>
      </c>
      <c r="L32" s="343">
        <f t="shared" si="1"/>
        <v>147.30000000000001</v>
      </c>
      <c r="M32" s="344">
        <f>ROUND(L32*K32,1)</f>
        <v>1296.2</v>
      </c>
    </row>
    <row r="33" spans="1:15" s="345" customFormat="1" x14ac:dyDescent="0.2">
      <c r="A33" s="99"/>
      <c r="B33" s="105" t="s">
        <v>68</v>
      </c>
      <c r="C33" s="106" t="s">
        <v>372</v>
      </c>
      <c r="D33" s="104"/>
      <c r="E33" s="107">
        <v>8.8000000000000007</v>
      </c>
      <c r="F33" s="108"/>
      <c r="G33" s="338"/>
      <c r="H33" s="339"/>
      <c r="I33" s="340"/>
      <c r="J33" s="341"/>
      <c r="K33" s="342"/>
      <c r="L33" s="343"/>
      <c r="M33" s="344"/>
      <c r="O33" s="348"/>
    </row>
    <row r="34" spans="1:15" s="345" customFormat="1" ht="31.15" customHeight="1" x14ac:dyDescent="0.2">
      <c r="A34" s="333" t="s">
        <v>123</v>
      </c>
      <c r="B34" s="334" t="s">
        <v>201</v>
      </c>
      <c r="C34" s="335" t="s">
        <v>202</v>
      </c>
      <c r="D34" s="309" t="s">
        <v>96</v>
      </c>
      <c r="E34" s="336">
        <v>9.7200000000000006</v>
      </c>
      <c r="F34" s="337">
        <v>38.14</v>
      </c>
      <c r="G34" s="338">
        <f>ROUND(F34*E34,1)</f>
        <v>370.7</v>
      </c>
      <c r="H34" s="339"/>
      <c r="I34" s="340">
        <f t="shared" si="2"/>
        <v>38.14</v>
      </c>
      <c r="J34" s="341">
        <f t="shared" si="3"/>
        <v>0</v>
      </c>
      <c r="K34" s="342">
        <f t="shared" si="0"/>
        <v>9.7200000000000006</v>
      </c>
      <c r="L34" s="343">
        <f t="shared" si="1"/>
        <v>38.14</v>
      </c>
      <c r="M34" s="344">
        <f>ROUND(L34*K34,1)</f>
        <v>370.7</v>
      </c>
    </row>
    <row r="35" spans="1:15" s="345" customFormat="1" x14ac:dyDescent="0.2">
      <c r="A35" s="99"/>
      <c r="B35" s="349" t="s">
        <v>68</v>
      </c>
      <c r="C35" s="350" t="s">
        <v>373</v>
      </c>
      <c r="D35" s="351"/>
      <c r="E35" s="349">
        <v>4.4000000000000004</v>
      </c>
      <c r="F35" s="352"/>
      <c r="G35" s="338"/>
      <c r="H35" s="339"/>
      <c r="I35" s="340"/>
      <c r="J35" s="341"/>
      <c r="K35" s="342"/>
      <c r="L35" s="343"/>
      <c r="M35" s="344"/>
      <c r="O35" s="348"/>
    </row>
    <row r="36" spans="1:15" s="345" customFormat="1" x14ac:dyDescent="0.2">
      <c r="A36" s="99"/>
      <c r="B36" s="349" t="s">
        <v>68</v>
      </c>
      <c r="C36" s="350" t="s">
        <v>374</v>
      </c>
      <c r="D36" s="351"/>
      <c r="E36" s="349">
        <v>5.32</v>
      </c>
      <c r="F36" s="352"/>
      <c r="G36" s="338"/>
      <c r="H36" s="339"/>
      <c r="I36" s="340"/>
      <c r="J36" s="341"/>
      <c r="K36" s="342"/>
      <c r="L36" s="343"/>
      <c r="M36" s="344"/>
      <c r="O36" s="348"/>
    </row>
    <row r="37" spans="1:15" s="345" customFormat="1" x14ac:dyDescent="0.2">
      <c r="A37" s="104"/>
      <c r="B37" s="349" t="s">
        <v>68</v>
      </c>
      <c r="C37" s="350" t="s">
        <v>71</v>
      </c>
      <c r="D37" s="351"/>
      <c r="E37" s="349">
        <v>9.7200000000000006</v>
      </c>
      <c r="F37" s="352"/>
      <c r="G37" s="338"/>
      <c r="H37" s="339"/>
      <c r="I37" s="340"/>
      <c r="J37" s="341"/>
      <c r="K37" s="342"/>
      <c r="L37" s="343"/>
      <c r="M37" s="344"/>
      <c r="O37" s="348"/>
    </row>
    <row r="38" spans="1:15" s="345" customFormat="1" ht="31.15" customHeight="1" x14ac:dyDescent="0.2">
      <c r="A38" s="333" t="s">
        <v>109</v>
      </c>
      <c r="B38" s="334" t="s">
        <v>375</v>
      </c>
      <c r="C38" s="335" t="s">
        <v>376</v>
      </c>
      <c r="D38" s="309" t="s">
        <v>96</v>
      </c>
      <c r="E38" s="336">
        <v>31.86</v>
      </c>
      <c r="F38" s="337">
        <v>257.77999999999997</v>
      </c>
      <c r="G38" s="338">
        <f>ROUND(F38*E38,1)</f>
        <v>8212.9</v>
      </c>
      <c r="H38" s="339"/>
      <c r="I38" s="340">
        <f t="shared" si="2"/>
        <v>257.77999999999997</v>
      </c>
      <c r="J38" s="341">
        <f t="shared" si="3"/>
        <v>0</v>
      </c>
      <c r="K38" s="342">
        <f t="shared" si="0"/>
        <v>31.86</v>
      </c>
      <c r="L38" s="343">
        <f t="shared" si="1"/>
        <v>257.77999999999997</v>
      </c>
      <c r="M38" s="344">
        <f>ROUND(L38*K38,1)</f>
        <v>8212.9</v>
      </c>
    </row>
    <row r="39" spans="1:15" s="345" customFormat="1" x14ac:dyDescent="0.2">
      <c r="A39" s="99"/>
      <c r="B39" s="100" t="s">
        <v>68</v>
      </c>
      <c r="C39" s="347" t="s">
        <v>377</v>
      </c>
      <c r="D39" s="99"/>
      <c r="E39" s="102">
        <v>31.86</v>
      </c>
      <c r="F39" s="103"/>
      <c r="G39" s="338"/>
      <c r="H39" s="339"/>
      <c r="I39" s="340"/>
      <c r="J39" s="341"/>
      <c r="K39" s="342"/>
      <c r="L39" s="343"/>
      <c r="M39" s="344"/>
      <c r="O39" s="348"/>
    </row>
    <row r="40" spans="1:15" s="345" customFormat="1" ht="31.15" customHeight="1" x14ac:dyDescent="0.2">
      <c r="A40" s="333" t="s">
        <v>195</v>
      </c>
      <c r="B40" s="334" t="s">
        <v>207</v>
      </c>
      <c r="C40" s="335" t="s">
        <v>208</v>
      </c>
      <c r="D40" s="309" t="s">
        <v>96</v>
      </c>
      <c r="E40" s="336">
        <v>233.21</v>
      </c>
      <c r="F40" s="337">
        <v>257.77999999999997</v>
      </c>
      <c r="G40" s="338">
        <f>ROUND(F40*E40,1)</f>
        <v>60116.9</v>
      </c>
      <c r="H40" s="339">
        <f>-97.56*0.28</f>
        <v>-27.316800000000004</v>
      </c>
      <c r="I40" s="340">
        <f t="shared" si="2"/>
        <v>257.77999999999997</v>
      </c>
      <c r="J40" s="341">
        <f t="shared" si="3"/>
        <v>-7041.7247040000002</v>
      </c>
      <c r="K40" s="342">
        <f t="shared" si="0"/>
        <v>205.89320000000001</v>
      </c>
      <c r="L40" s="343">
        <f t="shared" si="1"/>
        <v>257.77999999999997</v>
      </c>
      <c r="M40" s="344">
        <f>ROUND(L40*K40,1)</f>
        <v>53075.1</v>
      </c>
    </row>
    <row r="41" spans="1:15" s="345" customFormat="1" x14ac:dyDescent="0.2">
      <c r="A41" s="99"/>
      <c r="B41" s="349" t="s">
        <v>68</v>
      </c>
      <c r="C41" s="350" t="s">
        <v>378</v>
      </c>
      <c r="D41" s="351"/>
      <c r="E41" s="349">
        <v>218.28</v>
      </c>
      <c r="F41" s="352"/>
      <c r="G41" s="338"/>
      <c r="H41" s="339"/>
      <c r="I41" s="340"/>
      <c r="J41" s="341"/>
      <c r="K41" s="342"/>
      <c r="L41" s="343"/>
      <c r="M41" s="344"/>
      <c r="O41" s="348"/>
    </row>
    <row r="42" spans="1:15" s="345" customFormat="1" x14ac:dyDescent="0.2">
      <c r="A42" s="351"/>
      <c r="B42" s="349" t="s">
        <v>68</v>
      </c>
      <c r="C42" s="350" t="s">
        <v>379</v>
      </c>
      <c r="D42" s="351"/>
      <c r="E42" s="349" t="s">
        <v>68</v>
      </c>
      <c r="F42" s="352"/>
      <c r="G42" s="338"/>
      <c r="H42" s="339"/>
      <c r="I42" s="340"/>
      <c r="J42" s="341"/>
      <c r="K42" s="342"/>
      <c r="L42" s="343"/>
      <c r="M42" s="344"/>
      <c r="O42" s="348"/>
    </row>
    <row r="43" spans="1:15" s="345" customFormat="1" x14ac:dyDescent="0.2">
      <c r="A43" s="99"/>
      <c r="B43" s="349" t="s">
        <v>68</v>
      </c>
      <c r="C43" s="350" t="s">
        <v>380</v>
      </c>
      <c r="D43" s="351"/>
      <c r="E43" s="349">
        <v>3.39</v>
      </c>
      <c r="F43" s="352"/>
      <c r="G43" s="338"/>
      <c r="H43" s="339"/>
      <c r="I43" s="340"/>
      <c r="J43" s="341"/>
      <c r="K43" s="342"/>
      <c r="L43" s="343"/>
      <c r="M43" s="344"/>
      <c r="O43" s="348"/>
    </row>
    <row r="44" spans="1:15" s="345" customFormat="1" x14ac:dyDescent="0.2">
      <c r="A44" s="351"/>
      <c r="B44" s="100" t="s">
        <v>68</v>
      </c>
      <c r="C44" s="347" t="s">
        <v>381</v>
      </c>
      <c r="D44" s="99"/>
      <c r="E44" s="102" t="s">
        <v>68</v>
      </c>
      <c r="F44" s="103"/>
      <c r="G44" s="338"/>
      <c r="H44" s="339"/>
      <c r="I44" s="340"/>
      <c r="J44" s="341"/>
      <c r="K44" s="342"/>
      <c r="L44" s="343"/>
      <c r="M44" s="344"/>
      <c r="O44" s="348"/>
    </row>
    <row r="45" spans="1:15" s="345" customFormat="1" x14ac:dyDescent="0.2">
      <c r="A45" s="99"/>
      <c r="B45" s="349" t="s">
        <v>68</v>
      </c>
      <c r="C45" s="350" t="s">
        <v>382</v>
      </c>
      <c r="D45" s="351"/>
      <c r="E45" s="349">
        <v>11.54</v>
      </c>
      <c r="F45" s="352"/>
      <c r="G45" s="338"/>
      <c r="H45" s="339"/>
      <c r="I45" s="340"/>
      <c r="J45" s="341"/>
      <c r="K45" s="342"/>
      <c r="L45" s="343"/>
      <c r="M45" s="344"/>
      <c r="O45" s="348"/>
    </row>
    <row r="46" spans="1:15" s="345" customFormat="1" x14ac:dyDescent="0.2">
      <c r="A46" s="104"/>
      <c r="B46" s="100" t="s">
        <v>68</v>
      </c>
      <c r="C46" s="347" t="s">
        <v>71</v>
      </c>
      <c r="D46" s="99"/>
      <c r="E46" s="102">
        <v>233.20999999999998</v>
      </c>
      <c r="F46" s="103"/>
      <c r="G46" s="338"/>
      <c r="H46" s="339"/>
      <c r="I46" s="340"/>
      <c r="J46" s="341"/>
      <c r="K46" s="342"/>
      <c r="L46" s="343"/>
      <c r="M46" s="344"/>
      <c r="O46" s="348"/>
    </row>
    <row r="47" spans="1:15" s="345" customFormat="1" ht="31.15" customHeight="1" x14ac:dyDescent="0.2">
      <c r="A47" s="333" t="s">
        <v>198</v>
      </c>
      <c r="B47" s="334" t="s">
        <v>210</v>
      </c>
      <c r="C47" s="335" t="s">
        <v>211</v>
      </c>
      <c r="D47" s="309" t="s">
        <v>96</v>
      </c>
      <c r="E47" s="336">
        <v>69.959999999999994</v>
      </c>
      <c r="F47" s="337">
        <v>13.15</v>
      </c>
      <c r="G47" s="338">
        <f>ROUND(F47*E47,1)</f>
        <v>920</v>
      </c>
      <c r="H47" s="339">
        <f>H40*0.3</f>
        <v>-8.1950400000000005</v>
      </c>
      <c r="I47" s="340">
        <f t="shared" si="2"/>
        <v>13.15</v>
      </c>
      <c r="J47" s="341">
        <f t="shared" si="3"/>
        <v>-107.76477600000001</v>
      </c>
      <c r="K47" s="342">
        <f t="shared" si="0"/>
        <v>61.764959999999995</v>
      </c>
      <c r="L47" s="343">
        <f t="shared" si="1"/>
        <v>13.15</v>
      </c>
      <c r="M47" s="344">
        <f>ROUND(L47*K47,1)</f>
        <v>812.2</v>
      </c>
    </row>
    <row r="48" spans="1:15" s="345" customFormat="1" x14ac:dyDescent="0.2">
      <c r="A48" s="99"/>
      <c r="B48" s="334" t="s">
        <v>68</v>
      </c>
      <c r="C48" s="335" t="s">
        <v>383</v>
      </c>
      <c r="D48" s="309"/>
      <c r="E48" s="336">
        <v>65.48</v>
      </c>
      <c r="F48" s="337"/>
      <c r="G48" s="338"/>
      <c r="H48" s="339"/>
      <c r="I48" s="340"/>
      <c r="J48" s="341"/>
      <c r="K48" s="342"/>
      <c r="L48" s="343"/>
      <c r="M48" s="344"/>
      <c r="N48" s="344"/>
      <c r="O48" s="348"/>
    </row>
    <row r="49" spans="1:15" s="345" customFormat="1" ht="15" x14ac:dyDescent="0.2">
      <c r="A49" s="99"/>
      <c r="B49" s="19" t="s">
        <v>68</v>
      </c>
      <c r="C49" s="353" t="s">
        <v>384</v>
      </c>
      <c r="D49" s="19"/>
      <c r="E49" s="19">
        <v>1.02</v>
      </c>
      <c r="F49" s="64"/>
      <c r="G49" s="338"/>
      <c r="H49" s="339"/>
      <c r="I49" s="340"/>
      <c r="J49" s="341"/>
      <c r="K49" s="342"/>
      <c r="L49" s="343"/>
      <c r="M49" s="344"/>
      <c r="O49" s="348"/>
    </row>
    <row r="50" spans="1:15" s="345" customFormat="1" x14ac:dyDescent="0.2">
      <c r="A50" s="99"/>
      <c r="B50" s="99" t="s">
        <v>68</v>
      </c>
      <c r="C50" s="347" t="s">
        <v>385</v>
      </c>
      <c r="D50" s="99"/>
      <c r="E50" s="102">
        <v>3.46</v>
      </c>
      <c r="F50" s="103"/>
      <c r="G50" s="338"/>
      <c r="H50" s="339"/>
      <c r="I50" s="340"/>
      <c r="J50" s="341"/>
      <c r="K50" s="342"/>
      <c r="L50" s="343"/>
      <c r="M50" s="344"/>
      <c r="O50" s="348"/>
    </row>
    <row r="51" spans="1:15" s="345" customFormat="1" x14ac:dyDescent="0.2">
      <c r="A51" s="104"/>
      <c r="B51" s="334" t="s">
        <v>68</v>
      </c>
      <c r="C51" s="335" t="s">
        <v>71</v>
      </c>
      <c r="D51" s="309"/>
      <c r="E51" s="336">
        <v>69.959999999999994</v>
      </c>
      <c r="F51" s="337"/>
      <c r="G51" s="338"/>
      <c r="H51" s="339"/>
      <c r="I51" s="340"/>
      <c r="J51" s="341"/>
      <c r="K51" s="342"/>
      <c r="L51" s="343"/>
      <c r="M51" s="344"/>
      <c r="N51" s="344"/>
      <c r="O51" s="348"/>
    </row>
    <row r="52" spans="1:15" s="345" customFormat="1" ht="31.15" customHeight="1" x14ac:dyDescent="0.2">
      <c r="A52" s="333" t="s">
        <v>93</v>
      </c>
      <c r="B52" s="334" t="s">
        <v>213</v>
      </c>
      <c r="C52" s="335" t="s">
        <v>214</v>
      </c>
      <c r="D52" s="309" t="s">
        <v>96</v>
      </c>
      <c r="E52" s="336">
        <v>373.98</v>
      </c>
      <c r="F52" s="337">
        <v>315.64999999999998</v>
      </c>
      <c r="G52" s="338">
        <f>ROUND(F52*E52,1)</f>
        <v>118046.8</v>
      </c>
      <c r="H52" s="339">
        <f>-97.56494*0.449</f>
        <v>-43.806658060000004</v>
      </c>
      <c r="I52" s="340">
        <f t="shared" si="2"/>
        <v>315.64999999999998</v>
      </c>
      <c r="J52" s="341">
        <f t="shared" si="3"/>
        <v>-13827.571616638999</v>
      </c>
      <c r="K52" s="342">
        <f t="shared" si="0"/>
        <v>330.17334194</v>
      </c>
      <c r="L52" s="343">
        <f t="shared" si="1"/>
        <v>315.64999999999998</v>
      </c>
      <c r="M52" s="344">
        <f>ROUND(L52*K52,1)</f>
        <v>104219.2</v>
      </c>
    </row>
    <row r="53" spans="1:15" s="345" customFormat="1" x14ac:dyDescent="0.2">
      <c r="A53" s="99"/>
      <c r="B53" s="349" t="s">
        <v>68</v>
      </c>
      <c r="C53" s="350" t="s">
        <v>386</v>
      </c>
      <c r="D53" s="351"/>
      <c r="E53" s="349">
        <v>350.03</v>
      </c>
      <c r="F53" s="352"/>
      <c r="G53" s="338"/>
      <c r="H53" s="339"/>
      <c r="I53" s="340"/>
      <c r="J53" s="341"/>
      <c r="K53" s="342"/>
      <c r="L53" s="343"/>
      <c r="M53" s="344"/>
      <c r="O53" s="348"/>
    </row>
    <row r="54" spans="1:15" s="345" customFormat="1" x14ac:dyDescent="0.2">
      <c r="A54" s="351"/>
      <c r="B54" s="349" t="s">
        <v>68</v>
      </c>
      <c r="C54" s="350" t="s">
        <v>379</v>
      </c>
      <c r="D54" s="351"/>
      <c r="E54" s="349" t="s">
        <v>68</v>
      </c>
      <c r="F54" s="352"/>
      <c r="G54" s="338"/>
      <c r="H54" s="339"/>
      <c r="I54" s="340"/>
      <c r="J54" s="341"/>
      <c r="K54" s="342"/>
      <c r="L54" s="343"/>
      <c r="M54" s="344"/>
      <c r="O54" s="348"/>
    </row>
    <row r="55" spans="1:15" s="345" customFormat="1" x14ac:dyDescent="0.2">
      <c r="A55" s="99"/>
      <c r="B55" s="100" t="s">
        <v>68</v>
      </c>
      <c r="C55" s="347" t="s">
        <v>387</v>
      </c>
      <c r="D55" s="99"/>
      <c r="E55" s="102">
        <v>5.44</v>
      </c>
      <c r="F55" s="103"/>
      <c r="G55" s="338"/>
      <c r="H55" s="339"/>
      <c r="I55" s="340"/>
      <c r="J55" s="341"/>
      <c r="K55" s="342"/>
      <c r="L55" s="343"/>
      <c r="M55" s="344"/>
      <c r="O55" s="348"/>
    </row>
    <row r="56" spans="1:15" s="345" customFormat="1" x14ac:dyDescent="0.2">
      <c r="A56" s="351"/>
      <c r="B56" s="349" t="s">
        <v>68</v>
      </c>
      <c r="C56" s="350" t="s">
        <v>381</v>
      </c>
      <c r="D56" s="351"/>
      <c r="E56" s="349" t="s">
        <v>68</v>
      </c>
      <c r="F56" s="352"/>
      <c r="G56" s="338"/>
      <c r="H56" s="339"/>
      <c r="I56" s="340"/>
      <c r="J56" s="341"/>
      <c r="K56" s="342"/>
      <c r="L56" s="343"/>
      <c r="M56" s="344"/>
      <c r="O56" s="348"/>
    </row>
    <row r="57" spans="1:15" s="345" customFormat="1" x14ac:dyDescent="0.2">
      <c r="A57" s="99"/>
      <c r="B57" s="100" t="s">
        <v>68</v>
      </c>
      <c r="C57" s="347" t="s">
        <v>388</v>
      </c>
      <c r="D57" s="99"/>
      <c r="E57" s="102">
        <v>18.510000000000002</v>
      </c>
      <c r="F57" s="103"/>
      <c r="G57" s="338"/>
      <c r="H57" s="339"/>
      <c r="I57" s="340"/>
      <c r="J57" s="341"/>
      <c r="K57" s="342"/>
      <c r="L57" s="343"/>
      <c r="M57" s="344"/>
      <c r="O57" s="348"/>
    </row>
    <row r="58" spans="1:15" s="345" customFormat="1" x14ac:dyDescent="0.2">
      <c r="A58" s="104"/>
      <c r="B58" s="105" t="s">
        <v>68</v>
      </c>
      <c r="C58" s="106" t="s">
        <v>71</v>
      </c>
      <c r="D58" s="104"/>
      <c r="E58" s="107">
        <v>373.97999999999996</v>
      </c>
      <c r="F58" s="108"/>
      <c r="G58" s="338"/>
      <c r="H58" s="339"/>
      <c r="I58" s="340"/>
      <c r="J58" s="341"/>
      <c r="K58" s="342"/>
      <c r="L58" s="343"/>
      <c r="M58" s="344"/>
      <c r="O58" s="348"/>
    </row>
    <row r="59" spans="1:15" s="345" customFormat="1" ht="31.15" customHeight="1" x14ac:dyDescent="0.2">
      <c r="A59" s="333" t="s">
        <v>203</v>
      </c>
      <c r="B59" s="334" t="s">
        <v>216</v>
      </c>
      <c r="C59" s="335" t="s">
        <v>217</v>
      </c>
      <c r="D59" s="309" t="s">
        <v>96</v>
      </c>
      <c r="E59" s="336">
        <v>112.19</v>
      </c>
      <c r="F59" s="337">
        <v>15.78</v>
      </c>
      <c r="G59" s="338">
        <f>ROUND(F59*E59,1)</f>
        <v>1770.4</v>
      </c>
      <c r="H59" s="339">
        <f>H52*0.3</f>
        <v>-13.141997418000001</v>
      </c>
      <c r="I59" s="340">
        <f t="shared" si="2"/>
        <v>15.78</v>
      </c>
      <c r="J59" s="341">
        <f t="shared" si="3"/>
        <v>-207.38071925604001</v>
      </c>
      <c r="K59" s="342">
        <f t="shared" si="0"/>
        <v>99.048002581999995</v>
      </c>
      <c r="L59" s="343">
        <f t="shared" si="1"/>
        <v>15.78</v>
      </c>
      <c r="M59" s="344">
        <f>ROUND(L59*K59,1)</f>
        <v>1563</v>
      </c>
    </row>
    <row r="60" spans="1:15" s="345" customFormat="1" ht="15" x14ac:dyDescent="0.2">
      <c r="A60" s="99"/>
      <c r="B60" s="19" t="s">
        <v>68</v>
      </c>
      <c r="C60" s="353" t="s">
        <v>389</v>
      </c>
      <c r="D60" s="19"/>
      <c r="E60" s="19">
        <v>105.01</v>
      </c>
      <c r="F60" s="64"/>
      <c r="G60" s="338"/>
      <c r="H60" s="339"/>
      <c r="I60" s="340"/>
      <c r="J60" s="341"/>
      <c r="K60" s="342"/>
      <c r="L60" s="343"/>
      <c r="M60" s="344"/>
      <c r="O60" s="348"/>
    </row>
    <row r="61" spans="1:15" s="345" customFormat="1" x14ac:dyDescent="0.2">
      <c r="A61" s="99"/>
      <c r="B61" s="99" t="s">
        <v>68</v>
      </c>
      <c r="C61" s="347" t="s">
        <v>390</v>
      </c>
      <c r="D61" s="99"/>
      <c r="E61" s="102">
        <v>1.63</v>
      </c>
      <c r="F61" s="103"/>
      <c r="G61" s="338"/>
      <c r="H61" s="339"/>
      <c r="I61" s="340"/>
      <c r="J61" s="341"/>
      <c r="K61" s="342"/>
      <c r="L61" s="343"/>
      <c r="M61" s="344"/>
      <c r="O61" s="348"/>
    </row>
    <row r="62" spans="1:15" s="345" customFormat="1" x14ac:dyDescent="0.2">
      <c r="A62" s="99"/>
      <c r="B62" s="334" t="s">
        <v>68</v>
      </c>
      <c r="C62" s="335" t="s">
        <v>391</v>
      </c>
      <c r="D62" s="309"/>
      <c r="E62" s="336">
        <v>5.55</v>
      </c>
      <c r="F62" s="337"/>
      <c r="G62" s="338"/>
      <c r="H62" s="339"/>
      <c r="I62" s="340"/>
      <c r="J62" s="341"/>
      <c r="K62" s="342"/>
      <c r="L62" s="343"/>
      <c r="M62" s="344"/>
      <c r="N62" s="344"/>
      <c r="O62" s="348"/>
    </row>
    <row r="63" spans="1:15" s="345" customFormat="1" x14ac:dyDescent="0.2">
      <c r="A63" s="104"/>
      <c r="B63" s="100" t="s">
        <v>68</v>
      </c>
      <c r="C63" s="347" t="s">
        <v>71</v>
      </c>
      <c r="D63" s="99"/>
      <c r="E63" s="102">
        <v>112.19</v>
      </c>
      <c r="F63" s="103"/>
      <c r="G63" s="338"/>
      <c r="H63" s="339"/>
      <c r="I63" s="340"/>
      <c r="J63" s="341"/>
      <c r="K63" s="342"/>
      <c r="L63" s="343"/>
      <c r="M63" s="344"/>
      <c r="O63" s="348"/>
    </row>
    <row r="64" spans="1:15" s="345" customFormat="1" ht="31.15" customHeight="1" x14ac:dyDescent="0.2">
      <c r="A64" s="333" t="s">
        <v>206</v>
      </c>
      <c r="B64" s="334" t="s">
        <v>219</v>
      </c>
      <c r="C64" s="335" t="s">
        <v>220</v>
      </c>
      <c r="D64" s="309" t="s">
        <v>96</v>
      </c>
      <c r="E64" s="336">
        <v>166.58</v>
      </c>
      <c r="F64" s="337">
        <v>837.79</v>
      </c>
      <c r="G64" s="338">
        <f>ROUND(F64*E64,1)</f>
        <v>139559.1</v>
      </c>
      <c r="H64" s="339">
        <f>-97.56494*0.2</f>
        <v>-19.512988000000004</v>
      </c>
      <c r="I64" s="340">
        <f t="shared" si="2"/>
        <v>837.79</v>
      </c>
      <c r="J64" s="341">
        <f t="shared" si="3"/>
        <v>-16347.786216520002</v>
      </c>
      <c r="K64" s="342">
        <f t="shared" si="0"/>
        <v>147.06701200000001</v>
      </c>
      <c r="L64" s="343">
        <f t="shared" si="1"/>
        <v>837.79</v>
      </c>
      <c r="M64" s="344">
        <f>ROUND(L64*K64,1)</f>
        <v>123211.3</v>
      </c>
    </row>
    <row r="65" spans="1:15" s="345" customFormat="1" x14ac:dyDescent="0.2">
      <c r="A65" s="99"/>
      <c r="B65" s="349" t="s">
        <v>68</v>
      </c>
      <c r="C65" s="350" t="s">
        <v>392</v>
      </c>
      <c r="D65" s="351"/>
      <c r="E65" s="349">
        <v>155.91</v>
      </c>
      <c r="F65" s="352"/>
      <c r="G65" s="338"/>
      <c r="H65" s="339"/>
      <c r="I65" s="340"/>
      <c r="J65" s="341"/>
      <c r="K65" s="342"/>
      <c r="L65" s="343"/>
      <c r="M65" s="344"/>
      <c r="O65" s="348"/>
    </row>
    <row r="66" spans="1:15" s="345" customFormat="1" x14ac:dyDescent="0.2">
      <c r="A66" s="351"/>
      <c r="B66" s="334" t="s">
        <v>68</v>
      </c>
      <c r="C66" s="335" t="s">
        <v>379</v>
      </c>
      <c r="D66" s="309"/>
      <c r="E66" s="336" t="s">
        <v>68</v>
      </c>
      <c r="F66" s="337"/>
      <c r="G66" s="338"/>
      <c r="H66" s="339"/>
      <c r="I66" s="340"/>
      <c r="J66" s="341"/>
      <c r="K66" s="342"/>
      <c r="L66" s="343"/>
      <c r="M66" s="344"/>
      <c r="N66" s="344"/>
      <c r="O66" s="348"/>
    </row>
    <row r="67" spans="1:15" s="345" customFormat="1" ht="15" x14ac:dyDescent="0.2">
      <c r="A67" s="99"/>
      <c r="B67" s="19" t="s">
        <v>68</v>
      </c>
      <c r="C67" s="353" t="s">
        <v>393</v>
      </c>
      <c r="D67" s="19"/>
      <c r="E67" s="19">
        <v>2.42</v>
      </c>
      <c r="F67" s="64"/>
      <c r="G67" s="338"/>
      <c r="H67" s="339"/>
      <c r="I67" s="340"/>
      <c r="J67" s="341"/>
      <c r="K67" s="342"/>
      <c r="L67" s="343"/>
      <c r="M67" s="344"/>
      <c r="O67" s="348"/>
    </row>
    <row r="68" spans="1:15" s="345" customFormat="1" x14ac:dyDescent="0.2">
      <c r="A68" s="351"/>
      <c r="B68" s="349" t="s">
        <v>68</v>
      </c>
      <c r="C68" s="350" t="s">
        <v>381</v>
      </c>
      <c r="D68" s="351"/>
      <c r="E68" s="349" t="s">
        <v>68</v>
      </c>
      <c r="F68" s="352"/>
      <c r="G68" s="338"/>
      <c r="H68" s="339"/>
      <c r="I68" s="340"/>
      <c r="J68" s="341"/>
      <c r="K68" s="342"/>
      <c r="L68" s="343"/>
      <c r="M68" s="344"/>
      <c r="O68" s="348"/>
    </row>
    <row r="69" spans="1:15" s="345" customFormat="1" x14ac:dyDescent="0.2">
      <c r="A69" s="99"/>
      <c r="B69" s="100" t="s">
        <v>68</v>
      </c>
      <c r="C69" s="101" t="s">
        <v>394</v>
      </c>
      <c r="D69" s="99"/>
      <c r="E69" s="102">
        <v>8.25</v>
      </c>
      <c r="F69" s="103"/>
      <c r="G69" s="338"/>
      <c r="H69" s="339"/>
      <c r="I69" s="340"/>
      <c r="J69" s="341"/>
      <c r="K69" s="342"/>
      <c r="L69" s="343"/>
      <c r="M69" s="344"/>
      <c r="O69" s="348"/>
    </row>
    <row r="70" spans="1:15" s="345" customFormat="1" x14ac:dyDescent="0.2">
      <c r="A70" s="104"/>
      <c r="B70" s="100" t="s">
        <v>68</v>
      </c>
      <c r="C70" s="347" t="s">
        <v>71</v>
      </c>
      <c r="D70" s="99"/>
      <c r="E70" s="102">
        <v>166.57999999999998</v>
      </c>
      <c r="F70" s="103"/>
      <c r="G70" s="338"/>
      <c r="H70" s="339"/>
      <c r="I70" s="340"/>
      <c r="J70" s="341"/>
      <c r="K70" s="342"/>
      <c r="L70" s="343"/>
      <c r="M70" s="344"/>
      <c r="O70" s="348"/>
    </row>
    <row r="71" spans="1:15" s="345" customFormat="1" ht="31.15" customHeight="1" x14ac:dyDescent="0.2">
      <c r="A71" s="333" t="s">
        <v>209</v>
      </c>
      <c r="B71" s="334" t="s">
        <v>221</v>
      </c>
      <c r="C71" s="335" t="s">
        <v>222</v>
      </c>
      <c r="D71" s="309" t="s">
        <v>96</v>
      </c>
      <c r="E71" s="336">
        <v>59.14</v>
      </c>
      <c r="F71" s="337">
        <v>1116.6199999999999</v>
      </c>
      <c r="G71" s="338">
        <f>ROUND(F71*E71,1)</f>
        <v>66036.899999999994</v>
      </c>
      <c r="H71" s="339">
        <f>-97.56494*0.071</f>
        <v>-6.9271107399999998</v>
      </c>
      <c r="I71" s="340">
        <f t="shared" si="2"/>
        <v>1116.6199999999999</v>
      </c>
      <c r="J71" s="341">
        <f t="shared" si="3"/>
        <v>-7734.9503944987991</v>
      </c>
      <c r="K71" s="342">
        <f t="shared" si="0"/>
        <v>52.212889259999997</v>
      </c>
      <c r="L71" s="343">
        <f t="shared" si="1"/>
        <v>1116.6199999999999</v>
      </c>
      <c r="M71" s="344">
        <f>ROUND(L71*K71,1)</f>
        <v>58302</v>
      </c>
    </row>
    <row r="72" spans="1:15" s="345" customFormat="1" x14ac:dyDescent="0.2">
      <c r="A72" s="99"/>
      <c r="B72" s="349" t="s">
        <v>68</v>
      </c>
      <c r="C72" s="350" t="s">
        <v>395</v>
      </c>
      <c r="D72" s="351"/>
      <c r="E72" s="349">
        <v>55.35</v>
      </c>
      <c r="F72" s="352"/>
      <c r="G72" s="338"/>
      <c r="H72" s="339"/>
      <c r="I72" s="340"/>
      <c r="J72" s="341"/>
      <c r="K72" s="342"/>
      <c r="L72" s="343"/>
      <c r="M72" s="344"/>
      <c r="O72" s="348"/>
    </row>
    <row r="73" spans="1:15" s="345" customFormat="1" x14ac:dyDescent="0.2">
      <c r="A73" s="351"/>
      <c r="B73" s="349" t="s">
        <v>68</v>
      </c>
      <c r="C73" s="350" t="s">
        <v>379</v>
      </c>
      <c r="D73" s="351"/>
      <c r="E73" s="349" t="s">
        <v>68</v>
      </c>
      <c r="F73" s="352"/>
      <c r="G73" s="338"/>
      <c r="H73" s="339"/>
      <c r="I73" s="340"/>
      <c r="J73" s="341"/>
      <c r="K73" s="342"/>
      <c r="L73" s="343"/>
      <c r="M73" s="344"/>
      <c r="O73" s="348"/>
    </row>
    <row r="74" spans="1:15" s="345" customFormat="1" x14ac:dyDescent="0.2">
      <c r="A74" s="99"/>
      <c r="B74" s="349" t="s">
        <v>68</v>
      </c>
      <c r="C74" s="350" t="s">
        <v>396</v>
      </c>
      <c r="D74" s="351"/>
      <c r="E74" s="349">
        <v>0.86</v>
      </c>
      <c r="F74" s="352"/>
      <c r="G74" s="338"/>
      <c r="H74" s="339"/>
      <c r="I74" s="340"/>
      <c r="J74" s="341"/>
      <c r="K74" s="342"/>
      <c r="L74" s="343"/>
      <c r="M74" s="344"/>
      <c r="O74" s="348"/>
    </row>
    <row r="75" spans="1:15" s="345" customFormat="1" x14ac:dyDescent="0.2">
      <c r="A75" s="351"/>
      <c r="B75" s="349" t="s">
        <v>68</v>
      </c>
      <c r="C75" s="350" t="s">
        <v>381</v>
      </c>
      <c r="D75" s="351"/>
      <c r="E75" s="349" t="s">
        <v>68</v>
      </c>
      <c r="F75" s="352"/>
      <c r="G75" s="338"/>
      <c r="H75" s="339"/>
      <c r="I75" s="340"/>
      <c r="J75" s="341"/>
      <c r="K75" s="342"/>
      <c r="L75" s="343"/>
      <c r="M75" s="344"/>
      <c r="O75" s="348"/>
    </row>
    <row r="76" spans="1:15" s="345" customFormat="1" x14ac:dyDescent="0.2">
      <c r="A76" s="99"/>
      <c r="B76" s="349" t="s">
        <v>68</v>
      </c>
      <c r="C76" s="350" t="s">
        <v>397</v>
      </c>
      <c r="D76" s="351"/>
      <c r="E76" s="349">
        <v>2.93</v>
      </c>
      <c r="F76" s="352"/>
      <c r="G76" s="338"/>
      <c r="H76" s="339"/>
      <c r="I76" s="340"/>
      <c r="J76" s="341"/>
      <c r="K76" s="342"/>
      <c r="L76" s="343"/>
      <c r="M76" s="344"/>
      <c r="O76" s="348"/>
    </row>
    <row r="77" spans="1:15" s="345" customFormat="1" x14ac:dyDescent="0.2">
      <c r="A77" s="104"/>
      <c r="B77" s="349" t="s">
        <v>68</v>
      </c>
      <c r="C77" s="350" t="s">
        <v>71</v>
      </c>
      <c r="D77" s="351"/>
      <c r="E77" s="349">
        <v>59.14</v>
      </c>
      <c r="F77" s="352"/>
      <c r="G77" s="338"/>
      <c r="H77" s="339"/>
      <c r="I77" s="340"/>
      <c r="J77" s="341"/>
      <c r="K77" s="342"/>
      <c r="L77" s="343"/>
      <c r="M77" s="344"/>
      <c r="O77" s="348"/>
    </row>
    <row r="78" spans="1:15" s="345" customFormat="1" ht="31.15" customHeight="1" x14ac:dyDescent="0.2">
      <c r="A78" s="333" t="s">
        <v>212</v>
      </c>
      <c r="B78" s="334" t="s">
        <v>398</v>
      </c>
      <c r="C78" s="335" t="s">
        <v>399</v>
      </c>
      <c r="D78" s="309" t="s">
        <v>114</v>
      </c>
      <c r="E78" s="336">
        <v>16</v>
      </c>
      <c r="F78" s="337">
        <v>7845.94</v>
      </c>
      <c r="G78" s="338">
        <f>ROUND(F78*E78,1)</f>
        <v>125535</v>
      </c>
      <c r="H78" s="339"/>
      <c r="I78" s="340">
        <f t="shared" si="2"/>
        <v>7845.94</v>
      </c>
      <c r="J78" s="341">
        <f t="shared" si="3"/>
        <v>0</v>
      </c>
      <c r="K78" s="342">
        <f t="shared" si="0"/>
        <v>16</v>
      </c>
      <c r="L78" s="343">
        <f t="shared" si="1"/>
        <v>7845.94</v>
      </c>
      <c r="M78" s="344">
        <f>ROUND(L78*K78,1)</f>
        <v>125535</v>
      </c>
    </row>
    <row r="79" spans="1:15" s="345" customFormat="1" ht="31.15" customHeight="1" x14ac:dyDescent="0.2">
      <c r="A79" s="333" t="s">
        <v>215</v>
      </c>
      <c r="B79" s="334" t="s">
        <v>400</v>
      </c>
      <c r="C79" s="335" t="s">
        <v>401</v>
      </c>
      <c r="D79" s="309" t="s">
        <v>114</v>
      </c>
      <c r="E79" s="336">
        <v>16</v>
      </c>
      <c r="F79" s="337">
        <v>4018.65</v>
      </c>
      <c r="G79" s="338">
        <f>ROUND(F79*E79,1)</f>
        <v>64298.400000000001</v>
      </c>
      <c r="H79" s="339"/>
      <c r="I79" s="340">
        <f t="shared" si="2"/>
        <v>4018.65</v>
      </c>
      <c r="J79" s="341">
        <f t="shared" si="3"/>
        <v>0</v>
      </c>
      <c r="K79" s="342">
        <f t="shared" si="0"/>
        <v>16</v>
      </c>
      <c r="L79" s="343">
        <f t="shared" si="1"/>
        <v>4018.65</v>
      </c>
      <c r="M79" s="344">
        <f>ROUND(L79*K79,1)</f>
        <v>64298.400000000001</v>
      </c>
    </row>
    <row r="80" spans="1:15" s="345" customFormat="1" ht="31.15" customHeight="1" x14ac:dyDescent="0.2">
      <c r="A80" s="333" t="s">
        <v>218</v>
      </c>
      <c r="B80" s="334" t="s">
        <v>402</v>
      </c>
      <c r="C80" s="335" t="s">
        <v>403</v>
      </c>
      <c r="D80" s="309" t="s">
        <v>66</v>
      </c>
      <c r="E80" s="336">
        <v>70</v>
      </c>
      <c r="F80" s="337">
        <v>99.96</v>
      </c>
      <c r="G80" s="338">
        <f>ROUND(F80*E80,1)</f>
        <v>6997.2</v>
      </c>
      <c r="H80" s="339"/>
      <c r="I80" s="340">
        <f t="shared" si="2"/>
        <v>99.96</v>
      </c>
      <c r="J80" s="341">
        <f t="shared" si="3"/>
        <v>0</v>
      </c>
      <c r="K80" s="342">
        <f t="shared" si="0"/>
        <v>70</v>
      </c>
      <c r="L80" s="343">
        <f t="shared" si="1"/>
        <v>99.96</v>
      </c>
      <c r="M80" s="344">
        <f>ROUND(L80*K80,1)</f>
        <v>6997.2</v>
      </c>
    </row>
    <row r="81" spans="1:15" s="345" customFormat="1" x14ac:dyDescent="0.2">
      <c r="A81" s="99"/>
      <c r="B81" s="349" t="s">
        <v>68</v>
      </c>
      <c r="C81" s="350" t="s">
        <v>404</v>
      </c>
      <c r="D81" s="351"/>
      <c r="E81" s="349"/>
      <c r="F81" s="352"/>
      <c r="G81" s="338"/>
      <c r="H81" s="339"/>
      <c r="I81" s="340"/>
      <c r="J81" s="341"/>
      <c r="K81" s="342"/>
      <c r="L81" s="343"/>
      <c r="M81" s="344"/>
      <c r="O81" s="348"/>
    </row>
    <row r="82" spans="1:15" s="345" customFormat="1" ht="31.15" customHeight="1" x14ac:dyDescent="0.2">
      <c r="A82" s="333" t="s">
        <v>173</v>
      </c>
      <c r="B82" s="334" t="s">
        <v>405</v>
      </c>
      <c r="C82" s="335" t="s">
        <v>406</v>
      </c>
      <c r="D82" s="309" t="s">
        <v>66</v>
      </c>
      <c r="E82" s="336">
        <v>47.7</v>
      </c>
      <c r="F82" s="337">
        <v>99.96</v>
      </c>
      <c r="G82" s="338">
        <f>ROUND(F82*E82,1)</f>
        <v>4768.1000000000004</v>
      </c>
      <c r="H82" s="339"/>
      <c r="I82" s="340">
        <f t="shared" ref="I82:I145" si="4">F82</f>
        <v>99.96</v>
      </c>
      <c r="J82" s="341">
        <f t="shared" si="3"/>
        <v>0</v>
      </c>
      <c r="K82" s="342">
        <f t="shared" ref="K82:K145" si="5">+E82+H82</f>
        <v>47.7</v>
      </c>
      <c r="L82" s="343">
        <f t="shared" ref="L82:L145" si="6">+I82</f>
        <v>99.96</v>
      </c>
      <c r="M82" s="344">
        <f>ROUND(L82*K82,1)</f>
        <v>4768.1000000000004</v>
      </c>
    </row>
    <row r="83" spans="1:15" s="345" customFormat="1" x14ac:dyDescent="0.2">
      <c r="A83" s="99"/>
      <c r="B83" s="349" t="s">
        <v>68</v>
      </c>
      <c r="C83" s="350" t="s">
        <v>407</v>
      </c>
      <c r="D83" s="351"/>
      <c r="E83" s="349"/>
      <c r="F83" s="352"/>
      <c r="G83" s="338"/>
      <c r="H83" s="339"/>
      <c r="I83" s="340"/>
      <c r="J83" s="341"/>
      <c r="K83" s="342"/>
      <c r="L83" s="343"/>
      <c r="M83" s="344"/>
      <c r="O83" s="348"/>
    </row>
    <row r="84" spans="1:15" s="345" customFormat="1" ht="31.15" customHeight="1" x14ac:dyDescent="0.2">
      <c r="A84" s="333" t="s">
        <v>223</v>
      </c>
      <c r="B84" s="334" t="s">
        <v>408</v>
      </c>
      <c r="C84" s="335" t="s">
        <v>409</v>
      </c>
      <c r="D84" s="309" t="s">
        <v>66</v>
      </c>
      <c r="E84" s="336">
        <v>70</v>
      </c>
      <c r="F84" s="337">
        <v>149.94</v>
      </c>
      <c r="G84" s="338">
        <f>ROUND(F84*E84,1)</f>
        <v>10495.8</v>
      </c>
      <c r="H84" s="339"/>
      <c r="I84" s="340">
        <f t="shared" si="4"/>
        <v>149.94</v>
      </c>
      <c r="J84" s="341">
        <f t="shared" ref="J84:J145" si="7">H84*I84</f>
        <v>0</v>
      </c>
      <c r="K84" s="342">
        <f t="shared" si="5"/>
        <v>70</v>
      </c>
      <c r="L84" s="343">
        <f t="shared" si="6"/>
        <v>149.94</v>
      </c>
      <c r="M84" s="344">
        <f>ROUND(L84*K84,1)</f>
        <v>10495.8</v>
      </c>
    </row>
    <row r="85" spans="1:15" s="345" customFormat="1" x14ac:dyDescent="0.2">
      <c r="A85" s="99"/>
      <c r="B85" s="349" t="s">
        <v>68</v>
      </c>
      <c r="C85" s="350" t="s">
        <v>404</v>
      </c>
      <c r="D85" s="351"/>
      <c r="E85" s="349"/>
      <c r="F85" s="352"/>
      <c r="G85" s="338"/>
      <c r="H85" s="339"/>
      <c r="I85" s="340"/>
      <c r="J85" s="341"/>
      <c r="K85" s="342"/>
      <c r="L85" s="343"/>
      <c r="M85" s="344"/>
      <c r="O85" s="348"/>
    </row>
    <row r="86" spans="1:15" s="345" customFormat="1" ht="31.15" customHeight="1" x14ac:dyDescent="0.2">
      <c r="A86" s="333" t="s">
        <v>226</v>
      </c>
      <c r="B86" s="334" t="s">
        <v>410</v>
      </c>
      <c r="C86" s="335" t="s">
        <v>411</v>
      </c>
      <c r="D86" s="309" t="s">
        <v>66</v>
      </c>
      <c r="E86" s="336">
        <v>47.7</v>
      </c>
      <c r="F86" s="337">
        <v>149.94</v>
      </c>
      <c r="G86" s="338">
        <f>ROUND(F86*E86,1)</f>
        <v>7152.1</v>
      </c>
      <c r="H86" s="339"/>
      <c r="I86" s="340">
        <f t="shared" si="4"/>
        <v>149.94</v>
      </c>
      <c r="J86" s="341">
        <f t="shared" si="7"/>
        <v>0</v>
      </c>
      <c r="K86" s="342">
        <f t="shared" si="5"/>
        <v>47.7</v>
      </c>
      <c r="L86" s="343">
        <f t="shared" si="6"/>
        <v>149.94</v>
      </c>
      <c r="M86" s="344">
        <f>ROUND(L86*K86,1)</f>
        <v>7152.1</v>
      </c>
    </row>
    <row r="87" spans="1:15" s="345" customFormat="1" x14ac:dyDescent="0.2">
      <c r="A87" s="99"/>
      <c r="B87" s="349" t="s">
        <v>68</v>
      </c>
      <c r="C87" s="350" t="s">
        <v>407</v>
      </c>
      <c r="D87" s="351"/>
      <c r="E87" s="349"/>
      <c r="F87" s="352"/>
      <c r="G87" s="338"/>
      <c r="H87" s="339"/>
      <c r="I87" s="340"/>
      <c r="J87" s="341"/>
      <c r="K87" s="342"/>
      <c r="L87" s="343"/>
      <c r="M87" s="344"/>
      <c r="O87" s="348"/>
    </row>
    <row r="88" spans="1:15" s="345" customFormat="1" ht="31.15" customHeight="1" x14ac:dyDescent="0.2">
      <c r="A88" s="333" t="s">
        <v>229</v>
      </c>
      <c r="B88" s="334" t="s">
        <v>224</v>
      </c>
      <c r="C88" s="335" t="s">
        <v>225</v>
      </c>
      <c r="D88" s="309" t="s">
        <v>66</v>
      </c>
      <c r="E88" s="336">
        <v>1544.64</v>
      </c>
      <c r="F88" s="337">
        <v>99.96</v>
      </c>
      <c r="G88" s="338">
        <f>ROUND(F88*E88,1)</f>
        <v>154402.20000000001</v>
      </c>
      <c r="H88" s="339">
        <v>-217.82</v>
      </c>
      <c r="I88" s="340">
        <f t="shared" si="4"/>
        <v>99.96</v>
      </c>
      <c r="J88" s="341">
        <f t="shared" si="7"/>
        <v>-21773.287199999999</v>
      </c>
      <c r="K88" s="342">
        <f t="shared" si="5"/>
        <v>1326.8200000000002</v>
      </c>
      <c r="L88" s="343">
        <f t="shared" si="6"/>
        <v>99.96</v>
      </c>
      <c r="M88" s="344">
        <f>ROUND(L88*K88,1)</f>
        <v>132628.9</v>
      </c>
    </row>
    <row r="89" spans="1:15" s="345" customFormat="1" x14ac:dyDescent="0.2">
      <c r="A89" s="99"/>
      <c r="B89" s="349" t="s">
        <v>68</v>
      </c>
      <c r="C89" s="350" t="s">
        <v>412</v>
      </c>
      <c r="D89" s="351"/>
      <c r="E89" s="349"/>
      <c r="F89" s="352"/>
      <c r="G89" s="338"/>
      <c r="H89" s="339"/>
      <c r="I89" s="340"/>
      <c r="J89" s="341"/>
      <c r="K89" s="342"/>
      <c r="L89" s="343"/>
      <c r="M89" s="344"/>
      <c r="O89" s="348"/>
    </row>
    <row r="90" spans="1:15" s="345" customFormat="1" ht="31.15" customHeight="1" x14ac:dyDescent="0.2">
      <c r="A90" s="333" t="s">
        <v>230</v>
      </c>
      <c r="B90" s="334" t="s">
        <v>413</v>
      </c>
      <c r="C90" s="335" t="s">
        <v>414</v>
      </c>
      <c r="D90" s="309" t="s">
        <v>66</v>
      </c>
      <c r="E90" s="336">
        <v>11.08</v>
      </c>
      <c r="F90" s="337">
        <v>99.96</v>
      </c>
      <c r="G90" s="338">
        <f>ROUND(F90*E90,1)</f>
        <v>1107.5999999999999</v>
      </c>
      <c r="H90" s="339"/>
      <c r="I90" s="340">
        <f t="shared" si="4"/>
        <v>99.96</v>
      </c>
      <c r="J90" s="341">
        <f t="shared" si="7"/>
        <v>0</v>
      </c>
      <c r="K90" s="342">
        <f t="shared" si="5"/>
        <v>11.08</v>
      </c>
      <c r="L90" s="343">
        <f t="shared" si="6"/>
        <v>99.96</v>
      </c>
      <c r="M90" s="344">
        <f>ROUND(L90*K90,1)</f>
        <v>1107.5999999999999</v>
      </c>
    </row>
    <row r="91" spans="1:15" s="345" customFormat="1" x14ac:dyDescent="0.2">
      <c r="A91" s="99"/>
      <c r="B91" s="349" t="s">
        <v>68</v>
      </c>
      <c r="C91" s="350" t="s">
        <v>415</v>
      </c>
      <c r="D91" s="351"/>
      <c r="E91" s="349"/>
      <c r="F91" s="352"/>
      <c r="G91" s="338"/>
      <c r="H91" s="339"/>
      <c r="I91" s="340"/>
      <c r="J91" s="341"/>
      <c r="K91" s="342"/>
      <c r="L91" s="343"/>
      <c r="M91" s="344"/>
      <c r="O91" s="348"/>
    </row>
    <row r="92" spans="1:15" s="345" customFormat="1" ht="31.15" customHeight="1" x14ac:dyDescent="0.2">
      <c r="A92" s="333" t="s">
        <v>233</v>
      </c>
      <c r="B92" s="334" t="s">
        <v>227</v>
      </c>
      <c r="C92" s="335" t="s">
        <v>228</v>
      </c>
      <c r="D92" s="309" t="s">
        <v>66</v>
      </c>
      <c r="E92" s="336">
        <v>1544.64</v>
      </c>
      <c r="F92" s="337">
        <v>149.94</v>
      </c>
      <c r="G92" s="338">
        <f>ROUND(F92*E92,1)</f>
        <v>231603.3</v>
      </c>
      <c r="H92" s="339">
        <f>H88</f>
        <v>-217.82</v>
      </c>
      <c r="I92" s="340">
        <f t="shared" si="4"/>
        <v>149.94</v>
      </c>
      <c r="J92" s="341">
        <f t="shared" si="7"/>
        <v>-32659.930799999998</v>
      </c>
      <c r="K92" s="342">
        <f t="shared" si="5"/>
        <v>1326.8200000000002</v>
      </c>
      <c r="L92" s="343">
        <f t="shared" si="6"/>
        <v>149.94</v>
      </c>
      <c r="M92" s="344">
        <f>ROUND(L92*K92,1)</f>
        <v>198943.4</v>
      </c>
    </row>
    <row r="93" spans="1:15" s="345" customFormat="1" x14ac:dyDescent="0.2">
      <c r="A93" s="99"/>
      <c r="B93" s="349" t="s">
        <v>68</v>
      </c>
      <c r="C93" s="350" t="s">
        <v>412</v>
      </c>
      <c r="D93" s="351"/>
      <c r="E93" s="349"/>
      <c r="F93" s="352"/>
      <c r="G93" s="338"/>
      <c r="H93" s="339"/>
      <c r="I93" s="340"/>
      <c r="J93" s="341"/>
      <c r="K93" s="342"/>
      <c r="L93" s="343"/>
      <c r="M93" s="344"/>
      <c r="O93" s="348"/>
    </row>
    <row r="94" spans="1:15" s="345" customFormat="1" ht="31.15" customHeight="1" x14ac:dyDescent="0.2">
      <c r="A94" s="333" t="s">
        <v>236</v>
      </c>
      <c r="B94" s="334" t="s">
        <v>416</v>
      </c>
      <c r="C94" s="335" t="s">
        <v>417</v>
      </c>
      <c r="D94" s="309" t="s">
        <v>66</v>
      </c>
      <c r="E94" s="336">
        <v>11.08</v>
      </c>
      <c r="F94" s="337">
        <v>149.94</v>
      </c>
      <c r="G94" s="338">
        <f>ROUND(F94*E94,1)</f>
        <v>1661.3</v>
      </c>
      <c r="H94" s="339"/>
      <c r="I94" s="340">
        <f t="shared" si="4"/>
        <v>149.94</v>
      </c>
      <c r="J94" s="341">
        <f t="shared" si="7"/>
        <v>0</v>
      </c>
      <c r="K94" s="342">
        <f t="shared" si="5"/>
        <v>11.08</v>
      </c>
      <c r="L94" s="343">
        <f t="shared" si="6"/>
        <v>149.94</v>
      </c>
      <c r="M94" s="344">
        <f>ROUND(L94*K94,1)</f>
        <v>1661.3</v>
      </c>
    </row>
    <row r="95" spans="1:15" s="345" customFormat="1" x14ac:dyDescent="0.2">
      <c r="A95" s="99"/>
      <c r="B95" s="349" t="s">
        <v>68</v>
      </c>
      <c r="C95" s="350" t="s">
        <v>415</v>
      </c>
      <c r="D95" s="351"/>
      <c r="E95" s="349"/>
      <c r="F95" s="352"/>
      <c r="G95" s="338"/>
      <c r="H95" s="339"/>
      <c r="I95" s="340"/>
      <c r="J95" s="341"/>
      <c r="K95" s="342"/>
      <c r="L95" s="343"/>
      <c r="M95" s="344"/>
      <c r="O95" s="348"/>
    </row>
    <row r="96" spans="1:15" s="345" customFormat="1" ht="31.15" customHeight="1" x14ac:dyDescent="0.2">
      <c r="A96" s="333" t="s">
        <v>239</v>
      </c>
      <c r="B96" s="334" t="s">
        <v>147</v>
      </c>
      <c r="C96" s="335" t="s">
        <v>148</v>
      </c>
      <c r="D96" s="309" t="s">
        <v>96</v>
      </c>
      <c r="E96" s="336">
        <v>1381.11</v>
      </c>
      <c r="F96" s="337">
        <v>97.98</v>
      </c>
      <c r="G96" s="338">
        <f>ROUND(F96*E96,1)</f>
        <v>135321.20000000001</v>
      </c>
      <c r="H96" s="339">
        <v>-97.56</v>
      </c>
      <c r="I96" s="340">
        <f t="shared" si="4"/>
        <v>97.98</v>
      </c>
      <c r="J96" s="341">
        <f t="shared" si="7"/>
        <v>-9558.9288000000015</v>
      </c>
      <c r="K96" s="342">
        <f t="shared" si="5"/>
        <v>1283.55</v>
      </c>
      <c r="L96" s="343">
        <f t="shared" si="6"/>
        <v>97.98</v>
      </c>
      <c r="M96" s="344">
        <f>ROUND(L96*K96,1)</f>
        <v>125762.2</v>
      </c>
    </row>
    <row r="97" spans="1:15" s="345" customFormat="1" x14ac:dyDescent="0.2">
      <c r="A97" s="351"/>
      <c r="B97" s="349" t="s">
        <v>68</v>
      </c>
      <c r="C97" s="350" t="s">
        <v>418</v>
      </c>
      <c r="D97" s="351"/>
      <c r="E97" s="349"/>
      <c r="F97" s="352"/>
      <c r="G97" s="338"/>
      <c r="H97" s="339"/>
      <c r="I97" s="340"/>
      <c r="J97" s="341"/>
      <c r="K97" s="342"/>
      <c r="L97" s="343"/>
      <c r="M97" s="344"/>
      <c r="O97" s="348"/>
    </row>
    <row r="98" spans="1:15" s="345" customFormat="1" x14ac:dyDescent="0.2">
      <c r="A98" s="99"/>
      <c r="B98" s="349" t="s">
        <v>68</v>
      </c>
      <c r="C98" s="350" t="s">
        <v>419</v>
      </c>
      <c r="D98" s="351"/>
      <c r="E98" s="349"/>
      <c r="F98" s="352"/>
      <c r="G98" s="338"/>
      <c r="H98" s="339"/>
      <c r="I98" s="340"/>
      <c r="J98" s="341"/>
      <c r="K98" s="342"/>
      <c r="L98" s="343"/>
      <c r="M98" s="344"/>
      <c r="O98" s="348"/>
    </row>
    <row r="99" spans="1:15" s="345" customFormat="1" x14ac:dyDescent="0.2">
      <c r="A99" s="99"/>
      <c r="B99" s="349" t="s">
        <v>68</v>
      </c>
      <c r="C99" s="350" t="s">
        <v>420</v>
      </c>
      <c r="D99" s="351"/>
      <c r="E99" s="349"/>
      <c r="F99" s="352"/>
      <c r="G99" s="338"/>
      <c r="H99" s="339"/>
      <c r="I99" s="340"/>
      <c r="J99" s="341"/>
      <c r="K99" s="342"/>
      <c r="L99" s="343"/>
      <c r="M99" s="344"/>
      <c r="O99" s="348"/>
    </row>
    <row r="100" spans="1:15" s="345" customFormat="1" x14ac:dyDescent="0.2">
      <c r="A100" s="99"/>
      <c r="B100" s="349" t="s">
        <v>68</v>
      </c>
      <c r="C100" s="350" t="s">
        <v>421</v>
      </c>
      <c r="D100" s="351"/>
      <c r="E100" s="349"/>
      <c r="F100" s="352"/>
      <c r="G100" s="338"/>
      <c r="H100" s="339"/>
      <c r="I100" s="340"/>
      <c r="J100" s="341"/>
      <c r="K100" s="342"/>
      <c r="L100" s="343"/>
      <c r="M100" s="344"/>
      <c r="O100" s="348"/>
    </row>
    <row r="101" spans="1:15" s="345" customFormat="1" x14ac:dyDescent="0.2">
      <c r="A101" s="351"/>
      <c r="B101" s="349" t="s">
        <v>68</v>
      </c>
      <c r="C101" s="350" t="s">
        <v>422</v>
      </c>
      <c r="D101" s="351"/>
      <c r="E101" s="349"/>
      <c r="F101" s="352"/>
      <c r="G101" s="338"/>
      <c r="H101" s="339"/>
      <c r="I101" s="340"/>
      <c r="J101" s="341"/>
      <c r="K101" s="342"/>
      <c r="L101" s="343"/>
      <c r="M101" s="344"/>
      <c r="O101" s="348"/>
    </row>
    <row r="102" spans="1:15" s="345" customFormat="1" x14ac:dyDescent="0.2">
      <c r="A102" s="99"/>
      <c r="B102" s="349" t="s">
        <v>68</v>
      </c>
      <c r="C102" s="350" t="s">
        <v>423</v>
      </c>
      <c r="D102" s="351"/>
      <c r="E102" s="349"/>
      <c r="F102" s="352"/>
      <c r="G102" s="338"/>
      <c r="H102" s="339"/>
      <c r="I102" s="340"/>
      <c r="J102" s="341"/>
      <c r="K102" s="342"/>
      <c r="L102" s="343"/>
      <c r="M102" s="344"/>
      <c r="O102" s="348"/>
    </row>
    <row r="103" spans="1:15" s="345" customFormat="1" x14ac:dyDescent="0.2">
      <c r="A103" s="99"/>
      <c r="B103" s="349" t="s">
        <v>68</v>
      </c>
      <c r="C103" s="350" t="s">
        <v>420</v>
      </c>
      <c r="D103" s="351"/>
      <c r="E103" s="349"/>
      <c r="F103" s="352"/>
      <c r="G103" s="338"/>
      <c r="H103" s="339"/>
      <c r="I103" s="340"/>
      <c r="J103" s="341"/>
      <c r="K103" s="342"/>
      <c r="L103" s="343"/>
      <c r="M103" s="344"/>
      <c r="O103" s="348"/>
    </row>
    <row r="104" spans="1:15" s="345" customFormat="1" x14ac:dyDescent="0.2">
      <c r="A104" s="99"/>
      <c r="B104" s="349" t="s">
        <v>68</v>
      </c>
      <c r="C104" s="350" t="s">
        <v>421</v>
      </c>
      <c r="D104" s="351"/>
      <c r="E104" s="349"/>
      <c r="F104" s="352"/>
      <c r="G104" s="338"/>
      <c r="H104" s="339"/>
      <c r="I104" s="340"/>
      <c r="J104" s="341"/>
      <c r="K104" s="342"/>
      <c r="L104" s="343"/>
      <c r="M104" s="344"/>
      <c r="O104" s="348"/>
    </row>
    <row r="105" spans="1:15" s="345" customFormat="1" x14ac:dyDescent="0.2">
      <c r="A105" s="104"/>
      <c r="B105" s="349" t="s">
        <v>68</v>
      </c>
      <c r="C105" s="350" t="s">
        <v>71</v>
      </c>
      <c r="D105" s="351"/>
      <c r="E105" s="349"/>
      <c r="F105" s="352"/>
      <c r="G105" s="338"/>
      <c r="H105" s="339"/>
      <c r="I105" s="340"/>
      <c r="J105" s="341"/>
      <c r="K105" s="342"/>
      <c r="L105" s="343"/>
      <c r="M105" s="344"/>
      <c r="O105" s="348"/>
    </row>
    <row r="106" spans="1:15" s="345" customFormat="1" ht="31.15" customHeight="1" x14ac:dyDescent="0.2">
      <c r="A106" s="333" t="s">
        <v>242</v>
      </c>
      <c r="B106" s="334" t="s">
        <v>231</v>
      </c>
      <c r="C106" s="335" t="s">
        <v>232</v>
      </c>
      <c r="D106" s="309" t="s">
        <v>96</v>
      </c>
      <c r="E106" s="336">
        <v>281.39999999999998</v>
      </c>
      <c r="F106" s="337">
        <v>247.39</v>
      </c>
      <c r="G106" s="338">
        <f>ROUND(F106*E106,1)</f>
        <v>69615.5</v>
      </c>
      <c r="H106" s="339">
        <v>-34.409999999999997</v>
      </c>
      <c r="I106" s="340">
        <f t="shared" si="4"/>
        <v>247.39</v>
      </c>
      <c r="J106" s="341">
        <f t="shared" si="7"/>
        <v>-8512.6898999999994</v>
      </c>
      <c r="K106" s="342">
        <f t="shared" si="5"/>
        <v>246.98999999999998</v>
      </c>
      <c r="L106" s="343">
        <f t="shared" si="6"/>
        <v>247.39</v>
      </c>
      <c r="M106" s="344">
        <f>ROUND(L106*K106,1)</f>
        <v>61102.9</v>
      </c>
    </row>
    <row r="107" spans="1:15" s="345" customFormat="1" x14ac:dyDescent="0.2">
      <c r="A107" s="351"/>
      <c r="B107" s="349" t="s">
        <v>68</v>
      </c>
      <c r="C107" s="350" t="s">
        <v>424</v>
      </c>
      <c r="D107" s="351"/>
      <c r="E107" s="349"/>
      <c r="F107" s="352"/>
      <c r="G107" s="338"/>
      <c r="H107" s="339"/>
      <c r="I107" s="340"/>
      <c r="J107" s="341"/>
      <c r="K107" s="342"/>
      <c r="L107" s="343"/>
      <c r="M107" s="344"/>
      <c r="O107" s="348"/>
    </row>
    <row r="108" spans="1:15" s="345" customFormat="1" x14ac:dyDescent="0.2">
      <c r="A108" s="99"/>
      <c r="B108" s="349" t="s">
        <v>68</v>
      </c>
      <c r="C108" s="350" t="s">
        <v>425</v>
      </c>
      <c r="D108" s="351"/>
      <c r="E108" s="349"/>
      <c r="F108" s="352"/>
      <c r="G108" s="338"/>
      <c r="H108" s="339"/>
      <c r="I108" s="340"/>
      <c r="J108" s="341"/>
      <c r="K108" s="342"/>
      <c r="L108" s="343"/>
      <c r="M108" s="344"/>
      <c r="O108" s="348"/>
    </row>
    <row r="109" spans="1:15" s="345" customFormat="1" ht="31.15" customHeight="1" x14ac:dyDescent="0.2">
      <c r="A109" s="333" t="s">
        <v>245</v>
      </c>
      <c r="B109" s="334" t="s">
        <v>234</v>
      </c>
      <c r="C109" s="335" t="s">
        <v>235</v>
      </c>
      <c r="D109" s="309" t="s">
        <v>96</v>
      </c>
      <c r="E109" s="336">
        <v>281.39999999999998</v>
      </c>
      <c r="F109" s="337">
        <v>44.72</v>
      </c>
      <c r="G109" s="338">
        <f>ROUND(F109*E109,1)</f>
        <v>12584.2</v>
      </c>
      <c r="H109" s="339">
        <f>H106</f>
        <v>-34.409999999999997</v>
      </c>
      <c r="I109" s="340">
        <f t="shared" si="4"/>
        <v>44.72</v>
      </c>
      <c r="J109" s="341">
        <f t="shared" si="7"/>
        <v>-1538.8151999999998</v>
      </c>
      <c r="K109" s="342">
        <f t="shared" si="5"/>
        <v>246.98999999999998</v>
      </c>
      <c r="L109" s="343">
        <f t="shared" si="6"/>
        <v>44.72</v>
      </c>
      <c r="M109" s="344">
        <f>ROUND(L109*K109,1)</f>
        <v>11045.4</v>
      </c>
    </row>
    <row r="110" spans="1:15" s="345" customFormat="1" x14ac:dyDescent="0.2">
      <c r="A110" s="351"/>
      <c r="B110" s="349" t="s">
        <v>68</v>
      </c>
      <c r="C110" s="350" t="s">
        <v>424</v>
      </c>
      <c r="D110" s="351"/>
      <c r="E110" s="349"/>
      <c r="F110" s="352"/>
      <c r="G110" s="338"/>
      <c r="H110" s="339"/>
      <c r="I110" s="340"/>
      <c r="J110" s="341"/>
      <c r="K110" s="342"/>
      <c r="L110" s="343"/>
      <c r="M110" s="344"/>
      <c r="O110" s="348"/>
    </row>
    <row r="111" spans="1:15" s="345" customFormat="1" x14ac:dyDescent="0.2">
      <c r="A111" s="99"/>
      <c r="B111" s="349" t="s">
        <v>68</v>
      </c>
      <c r="C111" s="350" t="s">
        <v>425</v>
      </c>
      <c r="D111" s="351"/>
      <c r="E111" s="349"/>
      <c r="F111" s="352"/>
      <c r="G111" s="338"/>
      <c r="H111" s="339"/>
      <c r="I111" s="340"/>
      <c r="J111" s="341"/>
      <c r="K111" s="342"/>
      <c r="L111" s="343"/>
      <c r="M111" s="344"/>
      <c r="O111" s="348"/>
    </row>
    <row r="112" spans="1:15" s="345" customFormat="1" ht="31.15" customHeight="1" x14ac:dyDescent="0.2">
      <c r="A112" s="333" t="s">
        <v>248</v>
      </c>
      <c r="B112" s="334" t="s">
        <v>237</v>
      </c>
      <c r="C112" s="335" t="s">
        <v>238</v>
      </c>
      <c r="D112" s="309" t="s">
        <v>96</v>
      </c>
      <c r="E112" s="336">
        <v>281.39999999999998</v>
      </c>
      <c r="F112" s="337">
        <v>11.84</v>
      </c>
      <c r="G112" s="338">
        <f>ROUND(F112*E112,1)</f>
        <v>3331.8</v>
      </c>
      <c r="H112" s="339">
        <f>H109</f>
        <v>-34.409999999999997</v>
      </c>
      <c r="I112" s="340">
        <f t="shared" si="4"/>
        <v>11.84</v>
      </c>
      <c r="J112" s="341">
        <f t="shared" si="7"/>
        <v>-407.41439999999994</v>
      </c>
      <c r="K112" s="342">
        <f t="shared" si="5"/>
        <v>246.98999999999998</v>
      </c>
      <c r="L112" s="343">
        <f t="shared" si="6"/>
        <v>11.84</v>
      </c>
      <c r="M112" s="344">
        <f>ROUND(L112*K112,1)</f>
        <v>2924.4</v>
      </c>
    </row>
    <row r="113" spans="1:15" s="345" customFormat="1" x14ac:dyDescent="0.2">
      <c r="A113" s="99"/>
      <c r="B113" s="349" t="s">
        <v>68</v>
      </c>
      <c r="C113" s="350" t="s">
        <v>425</v>
      </c>
      <c r="D113" s="351"/>
      <c r="E113" s="349"/>
      <c r="F113" s="352"/>
      <c r="G113" s="338"/>
      <c r="H113" s="339"/>
      <c r="I113" s="340"/>
      <c r="J113" s="341"/>
      <c r="K113" s="342"/>
      <c r="L113" s="343"/>
      <c r="M113" s="344"/>
      <c r="O113" s="348"/>
    </row>
    <row r="114" spans="1:15" s="345" customFormat="1" ht="31.15" customHeight="1" x14ac:dyDescent="0.2">
      <c r="A114" s="333" t="s">
        <v>251</v>
      </c>
      <c r="B114" s="334" t="s">
        <v>240</v>
      </c>
      <c r="C114" s="335" t="s">
        <v>241</v>
      </c>
      <c r="D114" s="309" t="s">
        <v>85</v>
      </c>
      <c r="E114" s="336">
        <v>562.79999999999995</v>
      </c>
      <c r="F114" s="337">
        <v>116</v>
      </c>
      <c r="G114" s="338">
        <f>ROUND(F114*E114,1)</f>
        <v>65284.800000000003</v>
      </c>
      <c r="H114" s="339">
        <f>H112*2</f>
        <v>-68.819999999999993</v>
      </c>
      <c r="I114" s="340">
        <f t="shared" si="4"/>
        <v>116</v>
      </c>
      <c r="J114" s="341">
        <f t="shared" si="7"/>
        <v>-7983.119999999999</v>
      </c>
      <c r="K114" s="342">
        <f t="shared" si="5"/>
        <v>493.97999999999996</v>
      </c>
      <c r="L114" s="343">
        <f t="shared" si="6"/>
        <v>116</v>
      </c>
      <c r="M114" s="344">
        <f>ROUND(L114*K114,1)</f>
        <v>57301.7</v>
      </c>
    </row>
    <row r="115" spans="1:15" s="345" customFormat="1" x14ac:dyDescent="0.2">
      <c r="A115" s="99"/>
      <c r="B115" s="349" t="s">
        <v>68</v>
      </c>
      <c r="C115" s="350" t="s">
        <v>425</v>
      </c>
      <c r="D115" s="351"/>
      <c r="E115" s="349"/>
      <c r="F115" s="352"/>
      <c r="G115" s="338"/>
      <c r="H115" s="339"/>
      <c r="I115" s="340"/>
      <c r="J115" s="341"/>
      <c r="K115" s="342"/>
      <c r="L115" s="343"/>
      <c r="M115" s="344"/>
      <c r="O115" s="348"/>
    </row>
    <row r="116" spans="1:15" s="345" customFormat="1" x14ac:dyDescent="0.2">
      <c r="A116" s="99"/>
      <c r="B116" s="349"/>
      <c r="C116" s="350" t="s">
        <v>426</v>
      </c>
      <c r="D116" s="351"/>
      <c r="E116" s="349"/>
      <c r="F116" s="352"/>
      <c r="G116" s="338"/>
      <c r="H116" s="339"/>
      <c r="I116" s="340"/>
      <c r="J116" s="341"/>
      <c r="K116" s="342"/>
      <c r="L116" s="343"/>
      <c r="M116" s="344"/>
      <c r="O116" s="348"/>
    </row>
    <row r="117" spans="1:15" s="345" customFormat="1" ht="31.15" customHeight="1" x14ac:dyDescent="0.2">
      <c r="A117" s="333" t="s">
        <v>146</v>
      </c>
      <c r="B117" s="334" t="s">
        <v>243</v>
      </c>
      <c r="C117" s="335" t="s">
        <v>244</v>
      </c>
      <c r="D117" s="309" t="s">
        <v>96</v>
      </c>
      <c r="E117" s="336">
        <v>548.19000000000005</v>
      </c>
      <c r="F117" s="337">
        <v>143.36000000000001</v>
      </c>
      <c r="G117" s="338">
        <f>ROUND(F117*E117,1)</f>
        <v>78588.5</v>
      </c>
      <c r="H117" s="339">
        <v>-63.15</v>
      </c>
      <c r="I117" s="340">
        <f t="shared" si="4"/>
        <v>143.36000000000001</v>
      </c>
      <c r="J117" s="341">
        <f t="shared" si="7"/>
        <v>-9053.1840000000011</v>
      </c>
      <c r="K117" s="342">
        <f t="shared" si="5"/>
        <v>485.04000000000008</v>
      </c>
      <c r="L117" s="343">
        <f t="shared" si="6"/>
        <v>143.36000000000001</v>
      </c>
      <c r="M117" s="344">
        <f>ROUND(L117*K117,1)</f>
        <v>69535.3</v>
      </c>
    </row>
    <row r="118" spans="1:15" s="345" customFormat="1" x14ac:dyDescent="0.2">
      <c r="A118" s="351"/>
      <c r="B118" s="349" t="s">
        <v>68</v>
      </c>
      <c r="C118" s="350" t="s">
        <v>427</v>
      </c>
      <c r="D118" s="351"/>
      <c r="E118" s="349"/>
      <c r="F118" s="352"/>
      <c r="G118" s="338"/>
      <c r="H118" s="339"/>
      <c r="I118" s="340"/>
      <c r="J118" s="341"/>
      <c r="K118" s="342"/>
      <c r="L118" s="343"/>
      <c r="M118" s="344"/>
      <c r="O118" s="348"/>
    </row>
    <row r="119" spans="1:15" s="345" customFormat="1" x14ac:dyDescent="0.2">
      <c r="A119" s="99"/>
      <c r="B119" s="349" t="s">
        <v>68</v>
      </c>
      <c r="C119" s="350" t="s">
        <v>428</v>
      </c>
      <c r="D119" s="351"/>
      <c r="E119" s="349"/>
      <c r="F119" s="352"/>
      <c r="G119" s="338"/>
      <c r="H119" s="339"/>
      <c r="I119" s="340"/>
      <c r="J119" s="341"/>
      <c r="K119" s="342"/>
      <c r="L119" s="343"/>
      <c r="M119" s="344"/>
      <c r="O119" s="348"/>
    </row>
    <row r="120" spans="1:15" s="345" customFormat="1" x14ac:dyDescent="0.2">
      <c r="A120" s="99"/>
      <c r="B120" s="349" t="s">
        <v>68</v>
      </c>
      <c r="C120" s="350" t="s">
        <v>420</v>
      </c>
      <c r="D120" s="351"/>
      <c r="E120" s="349"/>
      <c r="F120" s="352"/>
      <c r="G120" s="338"/>
      <c r="H120" s="339"/>
      <c r="I120" s="340"/>
      <c r="J120" s="341"/>
      <c r="K120" s="342"/>
      <c r="L120" s="343"/>
      <c r="M120" s="344"/>
      <c r="O120" s="348"/>
    </row>
    <row r="121" spans="1:15" s="345" customFormat="1" x14ac:dyDescent="0.2">
      <c r="A121" s="99"/>
      <c r="B121" s="349" t="s">
        <v>68</v>
      </c>
      <c r="C121" s="350" t="s">
        <v>421</v>
      </c>
      <c r="D121" s="351"/>
      <c r="E121" s="349"/>
      <c r="F121" s="352"/>
      <c r="G121" s="338"/>
      <c r="H121" s="339"/>
      <c r="I121" s="340"/>
      <c r="J121" s="341"/>
      <c r="K121" s="342"/>
      <c r="L121" s="343"/>
      <c r="M121" s="344"/>
      <c r="O121" s="348"/>
    </row>
    <row r="122" spans="1:15" s="345" customFormat="1" x14ac:dyDescent="0.2">
      <c r="A122" s="351"/>
      <c r="B122" s="349" t="s">
        <v>68</v>
      </c>
      <c r="C122" s="350" t="s">
        <v>429</v>
      </c>
      <c r="D122" s="351"/>
      <c r="E122" s="349"/>
      <c r="F122" s="352"/>
      <c r="G122" s="338"/>
      <c r="H122" s="339"/>
      <c r="I122" s="340"/>
      <c r="J122" s="341"/>
      <c r="K122" s="342"/>
      <c r="L122" s="343"/>
      <c r="M122" s="344"/>
      <c r="O122" s="348"/>
    </row>
    <row r="123" spans="1:15" s="345" customFormat="1" x14ac:dyDescent="0.2">
      <c r="A123" s="99"/>
      <c r="B123" s="349" t="s">
        <v>68</v>
      </c>
      <c r="C123" s="350" t="s">
        <v>430</v>
      </c>
      <c r="D123" s="351"/>
      <c r="E123" s="349"/>
      <c r="F123" s="352"/>
      <c r="G123" s="338"/>
      <c r="H123" s="339"/>
      <c r="I123" s="340"/>
      <c r="J123" s="341"/>
      <c r="K123" s="342"/>
      <c r="L123" s="343"/>
      <c r="M123" s="344"/>
      <c r="O123" s="348"/>
    </row>
    <row r="124" spans="1:15" s="345" customFormat="1" x14ac:dyDescent="0.2">
      <c r="A124" s="351"/>
      <c r="B124" s="349" t="s">
        <v>68</v>
      </c>
      <c r="C124" s="350" t="s">
        <v>431</v>
      </c>
      <c r="D124" s="351"/>
      <c r="E124" s="349"/>
      <c r="F124" s="352"/>
      <c r="G124" s="338"/>
      <c r="H124" s="339"/>
      <c r="I124" s="340"/>
      <c r="J124" s="341"/>
      <c r="K124" s="342"/>
      <c r="L124" s="343"/>
      <c r="M124" s="344"/>
      <c r="O124" s="348"/>
    </row>
    <row r="125" spans="1:15" s="345" customFormat="1" x14ac:dyDescent="0.2">
      <c r="A125" s="99"/>
      <c r="B125" s="349" t="s">
        <v>68</v>
      </c>
      <c r="C125" s="350" t="s">
        <v>432</v>
      </c>
      <c r="D125" s="351"/>
      <c r="E125" s="349"/>
      <c r="F125" s="352"/>
      <c r="G125" s="338"/>
      <c r="H125" s="339"/>
      <c r="I125" s="340"/>
      <c r="J125" s="341"/>
      <c r="K125" s="342"/>
      <c r="L125" s="343"/>
      <c r="M125" s="344"/>
      <c r="O125" s="348"/>
    </row>
    <row r="126" spans="1:15" s="345" customFormat="1" x14ac:dyDescent="0.2">
      <c r="A126" s="104"/>
      <c r="B126" s="349" t="s">
        <v>68</v>
      </c>
      <c r="C126" s="350" t="s">
        <v>71</v>
      </c>
      <c r="D126" s="351"/>
      <c r="E126" s="349"/>
      <c r="F126" s="352"/>
      <c r="G126" s="338"/>
      <c r="H126" s="339"/>
      <c r="I126" s="340"/>
      <c r="J126" s="341"/>
      <c r="K126" s="342"/>
      <c r="L126" s="343"/>
      <c r="M126" s="344"/>
      <c r="O126" s="348"/>
    </row>
    <row r="127" spans="1:15" s="345" customFormat="1" ht="31.15" customHeight="1" x14ac:dyDescent="0.2">
      <c r="A127" s="333" t="s">
        <v>257</v>
      </c>
      <c r="B127" s="334" t="s">
        <v>246</v>
      </c>
      <c r="C127" s="335" t="s">
        <v>247</v>
      </c>
      <c r="D127" s="309" t="s">
        <v>96</v>
      </c>
      <c r="E127" s="336">
        <v>185.57</v>
      </c>
      <c r="F127" s="337">
        <v>318.27999999999997</v>
      </c>
      <c r="G127" s="338">
        <f>ROUND(F127*E127,1)</f>
        <v>59063.199999999997</v>
      </c>
      <c r="H127" s="339">
        <v>-26.76</v>
      </c>
      <c r="I127" s="340">
        <f t="shared" si="4"/>
        <v>318.27999999999997</v>
      </c>
      <c r="J127" s="341">
        <f t="shared" si="7"/>
        <v>-8517.1728000000003</v>
      </c>
      <c r="K127" s="342">
        <f t="shared" si="5"/>
        <v>158.81</v>
      </c>
      <c r="L127" s="343">
        <f t="shared" si="6"/>
        <v>318.27999999999997</v>
      </c>
      <c r="M127" s="344">
        <f>ROUND(L127*K127,1)</f>
        <v>50546</v>
      </c>
    </row>
    <row r="128" spans="1:15" s="345" customFormat="1" x14ac:dyDescent="0.2">
      <c r="A128" s="99"/>
      <c r="B128" s="349" t="s">
        <v>68</v>
      </c>
      <c r="C128" s="350" t="s">
        <v>433</v>
      </c>
      <c r="D128" s="351"/>
      <c r="E128" s="349"/>
      <c r="F128" s="352"/>
      <c r="G128" s="338"/>
      <c r="H128" s="339"/>
      <c r="I128" s="340"/>
      <c r="J128" s="341"/>
      <c r="K128" s="342"/>
      <c r="L128" s="343"/>
      <c r="M128" s="344"/>
      <c r="O128" s="348"/>
    </row>
    <row r="129" spans="1:15" s="345" customFormat="1" ht="31.15" customHeight="1" x14ac:dyDescent="0.2">
      <c r="A129" s="333" t="s">
        <v>260</v>
      </c>
      <c r="B129" s="334" t="s">
        <v>249</v>
      </c>
      <c r="C129" s="335" t="s">
        <v>250</v>
      </c>
      <c r="D129" s="309" t="s">
        <v>85</v>
      </c>
      <c r="E129" s="336">
        <v>371.14</v>
      </c>
      <c r="F129" s="337">
        <v>172.71</v>
      </c>
      <c r="G129" s="338">
        <f>ROUND(F129*E129,1)</f>
        <v>64099.6</v>
      </c>
      <c r="H129" s="339">
        <f>H127*2</f>
        <v>-53.52</v>
      </c>
      <c r="I129" s="340">
        <f t="shared" si="4"/>
        <v>172.71</v>
      </c>
      <c r="J129" s="341">
        <f t="shared" si="7"/>
        <v>-9243.4392000000007</v>
      </c>
      <c r="K129" s="342">
        <f t="shared" si="5"/>
        <v>317.62</v>
      </c>
      <c r="L129" s="343">
        <f t="shared" si="6"/>
        <v>172.71</v>
      </c>
      <c r="M129" s="344">
        <f>ROUND(L129*K129,1)</f>
        <v>54856.2</v>
      </c>
    </row>
    <row r="130" spans="1:15" s="345" customFormat="1" x14ac:dyDescent="0.2">
      <c r="A130" s="99"/>
      <c r="B130" s="349" t="s">
        <v>68</v>
      </c>
      <c r="C130" s="350" t="s">
        <v>433</v>
      </c>
      <c r="D130" s="351"/>
      <c r="E130" s="349"/>
      <c r="F130" s="352"/>
      <c r="G130" s="338"/>
      <c r="H130" s="339"/>
      <c r="I130" s="340"/>
      <c r="J130" s="341"/>
      <c r="K130" s="342"/>
      <c r="L130" s="343"/>
      <c r="M130" s="344"/>
      <c r="O130" s="348"/>
    </row>
    <row r="131" spans="1:15" s="345" customFormat="1" x14ac:dyDescent="0.2">
      <c r="A131" s="99"/>
      <c r="B131" s="349"/>
      <c r="C131" s="350" t="s">
        <v>434</v>
      </c>
      <c r="D131" s="351"/>
      <c r="E131" s="349"/>
      <c r="F131" s="352"/>
      <c r="G131" s="338"/>
      <c r="H131" s="339"/>
      <c r="I131" s="340"/>
      <c r="J131" s="341"/>
      <c r="K131" s="342"/>
      <c r="L131" s="343"/>
      <c r="M131" s="344"/>
      <c r="O131" s="348"/>
    </row>
    <row r="132" spans="1:15" s="345" customFormat="1" ht="31.15" customHeight="1" x14ac:dyDescent="0.2">
      <c r="A132" s="333" t="s">
        <v>264</v>
      </c>
      <c r="B132" s="334" t="s">
        <v>252</v>
      </c>
      <c r="C132" s="335" t="s">
        <v>253</v>
      </c>
      <c r="D132" s="309" t="s">
        <v>66</v>
      </c>
      <c r="E132" s="336">
        <v>24.3</v>
      </c>
      <c r="F132" s="337">
        <v>53.92</v>
      </c>
      <c r="G132" s="338">
        <f>ROUND(F132*E132,1)</f>
        <v>1310.3</v>
      </c>
      <c r="H132" s="339"/>
      <c r="I132" s="340">
        <f t="shared" si="4"/>
        <v>53.92</v>
      </c>
      <c r="J132" s="341">
        <f t="shared" si="7"/>
        <v>0</v>
      </c>
      <c r="K132" s="342">
        <f t="shared" si="5"/>
        <v>24.3</v>
      </c>
      <c r="L132" s="343">
        <f t="shared" si="6"/>
        <v>53.92</v>
      </c>
      <c r="M132" s="344">
        <f>ROUND(L132*K132,1)</f>
        <v>1310.3</v>
      </c>
    </row>
    <row r="133" spans="1:15" s="345" customFormat="1" x14ac:dyDescent="0.2">
      <c r="A133" s="99"/>
      <c r="B133" s="349" t="s">
        <v>68</v>
      </c>
      <c r="C133" s="350" t="s">
        <v>435</v>
      </c>
      <c r="D133" s="351"/>
      <c r="E133" s="349"/>
      <c r="F133" s="352"/>
      <c r="G133" s="338"/>
      <c r="H133" s="339"/>
      <c r="I133" s="340"/>
      <c r="J133" s="341"/>
      <c r="K133" s="342"/>
      <c r="L133" s="343"/>
      <c r="M133" s="344"/>
      <c r="O133" s="348"/>
    </row>
    <row r="134" spans="1:15" s="345" customFormat="1" x14ac:dyDescent="0.2">
      <c r="A134" s="99"/>
      <c r="B134" s="349" t="s">
        <v>68</v>
      </c>
      <c r="C134" s="350" t="s">
        <v>436</v>
      </c>
      <c r="D134" s="351"/>
      <c r="E134" s="349"/>
      <c r="F134" s="352"/>
      <c r="G134" s="338"/>
      <c r="H134" s="339"/>
      <c r="I134" s="340"/>
      <c r="J134" s="341"/>
      <c r="K134" s="342"/>
      <c r="L134" s="343"/>
      <c r="M134" s="344"/>
      <c r="O134" s="348"/>
    </row>
    <row r="135" spans="1:15" s="345" customFormat="1" x14ac:dyDescent="0.2">
      <c r="A135" s="104"/>
      <c r="B135" s="349" t="s">
        <v>68</v>
      </c>
      <c r="C135" s="350" t="s">
        <v>71</v>
      </c>
      <c r="D135" s="351"/>
      <c r="E135" s="349"/>
      <c r="F135" s="352"/>
      <c r="G135" s="338"/>
      <c r="H135" s="339"/>
      <c r="I135" s="340"/>
      <c r="J135" s="341"/>
      <c r="K135" s="342"/>
      <c r="L135" s="343"/>
      <c r="M135" s="344"/>
      <c r="O135" s="348"/>
    </row>
    <row r="136" spans="1:15" s="325" customFormat="1" ht="24" customHeight="1" x14ac:dyDescent="0.2">
      <c r="A136" s="326" t="s">
        <v>184</v>
      </c>
      <c r="B136" s="327" t="s">
        <v>256</v>
      </c>
      <c r="C136" s="328"/>
      <c r="D136" s="328"/>
      <c r="E136" s="329"/>
      <c r="F136" s="330"/>
      <c r="G136" s="331"/>
      <c r="H136" s="332"/>
      <c r="I136" s="332"/>
      <c r="J136" s="332"/>
      <c r="K136" s="331"/>
      <c r="L136" s="331"/>
      <c r="M136" s="331"/>
    </row>
    <row r="137" spans="1:15" s="345" customFormat="1" ht="31.15" customHeight="1" x14ac:dyDescent="0.2">
      <c r="A137" s="333" t="s">
        <v>267</v>
      </c>
      <c r="B137" s="334" t="s">
        <v>258</v>
      </c>
      <c r="C137" s="335" t="s">
        <v>259</v>
      </c>
      <c r="D137" s="309" t="s">
        <v>114</v>
      </c>
      <c r="E137" s="336">
        <v>311.27</v>
      </c>
      <c r="F137" s="337">
        <v>32.880000000000003</v>
      </c>
      <c r="G137" s="338">
        <f>ROUND(F137*E137,1)</f>
        <v>10234.6</v>
      </c>
      <c r="H137" s="339">
        <v>-48.7</v>
      </c>
      <c r="I137" s="340">
        <f t="shared" si="4"/>
        <v>32.880000000000003</v>
      </c>
      <c r="J137" s="341">
        <f t="shared" si="7"/>
        <v>-1601.2560000000003</v>
      </c>
      <c r="K137" s="342">
        <f t="shared" si="5"/>
        <v>262.57</v>
      </c>
      <c r="L137" s="343">
        <f t="shared" si="6"/>
        <v>32.880000000000003</v>
      </c>
      <c r="M137" s="344">
        <f>ROUND(L137*K137,1)</f>
        <v>8633.2999999999993</v>
      </c>
    </row>
    <row r="138" spans="1:15" s="345" customFormat="1" ht="13.9" customHeight="1" x14ac:dyDescent="0.2">
      <c r="A138" s="99"/>
      <c r="B138" s="100" t="s">
        <v>68</v>
      </c>
      <c r="C138" s="101" t="s">
        <v>437</v>
      </c>
      <c r="D138" s="99"/>
      <c r="E138" s="102">
        <v>311.27</v>
      </c>
      <c r="F138" s="103"/>
      <c r="G138" s="338"/>
      <c r="H138" s="339"/>
      <c r="I138" s="340"/>
      <c r="J138" s="341"/>
      <c r="K138" s="342"/>
      <c r="L138" s="343"/>
      <c r="M138" s="344"/>
      <c r="O138" s="348"/>
    </row>
    <row r="139" spans="1:15" s="345" customFormat="1" ht="31.15" customHeight="1" x14ac:dyDescent="0.2">
      <c r="A139" s="333" t="s">
        <v>270</v>
      </c>
      <c r="B139" s="334" t="s">
        <v>261</v>
      </c>
      <c r="C139" s="335" t="s">
        <v>262</v>
      </c>
      <c r="D139" s="309" t="s">
        <v>114</v>
      </c>
      <c r="E139" s="336">
        <v>311.27</v>
      </c>
      <c r="F139" s="337">
        <v>6.58</v>
      </c>
      <c r="G139" s="338">
        <f>ROUND(F139*E139,1)</f>
        <v>2048.1999999999998</v>
      </c>
      <c r="H139" s="339">
        <v>-48.7</v>
      </c>
      <c r="I139" s="340">
        <f t="shared" si="4"/>
        <v>6.58</v>
      </c>
      <c r="J139" s="341">
        <f t="shared" si="7"/>
        <v>-320.44600000000003</v>
      </c>
      <c r="K139" s="342">
        <f t="shared" si="5"/>
        <v>262.57</v>
      </c>
      <c r="L139" s="343">
        <f t="shared" si="6"/>
        <v>6.58</v>
      </c>
      <c r="M139" s="344">
        <f>ROUND(L139*K139,1)</f>
        <v>1727.7</v>
      </c>
    </row>
    <row r="140" spans="1:15" s="345" customFormat="1" x14ac:dyDescent="0.2">
      <c r="A140" s="354"/>
      <c r="B140" s="100" t="s">
        <v>68</v>
      </c>
      <c r="C140" s="101" t="s">
        <v>437</v>
      </c>
      <c r="D140" s="99"/>
      <c r="E140" s="102">
        <v>311.27</v>
      </c>
      <c r="F140" s="103"/>
      <c r="G140" s="338"/>
      <c r="H140" s="339"/>
      <c r="I140" s="340"/>
      <c r="J140" s="341"/>
      <c r="K140" s="342"/>
      <c r="L140" s="343"/>
      <c r="M140" s="344"/>
      <c r="N140" s="344"/>
      <c r="O140" s="348"/>
    </row>
    <row r="141" spans="1:15" s="325" customFormat="1" ht="24" customHeight="1" x14ac:dyDescent="0.2">
      <c r="A141" s="326" t="s">
        <v>62</v>
      </c>
      <c r="B141" s="327" t="s">
        <v>263</v>
      </c>
      <c r="C141" s="328"/>
      <c r="D141" s="328"/>
      <c r="E141" s="329"/>
      <c r="F141" s="330"/>
      <c r="G141" s="331"/>
      <c r="H141" s="332"/>
      <c r="I141" s="332"/>
      <c r="J141" s="332"/>
      <c r="K141" s="331"/>
      <c r="L141" s="331"/>
      <c r="M141" s="331"/>
    </row>
    <row r="142" spans="1:15" s="345" customFormat="1" ht="31.15" customHeight="1" x14ac:dyDescent="0.2">
      <c r="A142" s="333" t="s">
        <v>179</v>
      </c>
      <c r="B142" s="334" t="s">
        <v>265</v>
      </c>
      <c r="C142" s="335" t="s">
        <v>266</v>
      </c>
      <c r="D142" s="309" t="s">
        <v>96</v>
      </c>
      <c r="E142" s="336">
        <v>0.38</v>
      </c>
      <c r="F142" s="337">
        <v>644.70000000000005</v>
      </c>
      <c r="G142" s="338">
        <f>ROUND(F142*E142,1)</f>
        <v>245</v>
      </c>
      <c r="H142" s="339"/>
      <c r="I142" s="340">
        <f t="shared" si="4"/>
        <v>644.70000000000005</v>
      </c>
      <c r="J142" s="341">
        <f t="shared" si="7"/>
        <v>0</v>
      </c>
      <c r="K142" s="342">
        <f t="shared" si="5"/>
        <v>0.38</v>
      </c>
      <c r="L142" s="343">
        <f t="shared" si="6"/>
        <v>644.70000000000005</v>
      </c>
      <c r="M142" s="344">
        <f>ROUND(L142*K142,1)</f>
        <v>245</v>
      </c>
    </row>
    <row r="143" spans="1:15" s="345" customFormat="1" x14ac:dyDescent="0.2">
      <c r="A143" s="99"/>
      <c r="B143" s="100" t="s">
        <v>68</v>
      </c>
      <c r="C143" s="101" t="s">
        <v>438</v>
      </c>
      <c r="D143" s="99"/>
      <c r="E143" s="102">
        <v>0.38</v>
      </c>
      <c r="F143" s="103"/>
      <c r="G143" s="338"/>
      <c r="H143" s="339"/>
      <c r="I143" s="340"/>
      <c r="J143" s="341"/>
      <c r="K143" s="342"/>
      <c r="L143" s="343"/>
      <c r="M143" s="344"/>
      <c r="N143" s="344"/>
      <c r="O143" s="348"/>
    </row>
    <row r="144" spans="1:15" s="345" customFormat="1" ht="31.15" customHeight="1" x14ac:dyDescent="0.2">
      <c r="A144" s="333" t="s">
        <v>273</v>
      </c>
      <c r="B144" s="334" t="s">
        <v>439</v>
      </c>
      <c r="C144" s="335" t="s">
        <v>440</v>
      </c>
      <c r="D144" s="309" t="s">
        <v>290</v>
      </c>
      <c r="E144" s="336">
        <v>7</v>
      </c>
      <c r="F144" s="337">
        <v>122.32</v>
      </c>
      <c r="G144" s="338">
        <f>ROUND(F144*E144,1)</f>
        <v>856.2</v>
      </c>
      <c r="H144" s="339">
        <v>-2</v>
      </c>
      <c r="I144" s="340">
        <f t="shared" si="4"/>
        <v>122.32</v>
      </c>
      <c r="J144" s="341">
        <f t="shared" si="7"/>
        <v>-244.64</v>
      </c>
      <c r="K144" s="342">
        <f t="shared" si="5"/>
        <v>5</v>
      </c>
      <c r="L144" s="343">
        <f t="shared" si="6"/>
        <v>122.32</v>
      </c>
      <c r="M144" s="344">
        <f>ROUND(L144*K144,1)</f>
        <v>611.6</v>
      </c>
    </row>
    <row r="145" spans="1:15" s="345" customFormat="1" ht="31.15" customHeight="1" x14ac:dyDescent="0.2">
      <c r="A145" s="333" t="s">
        <v>134</v>
      </c>
      <c r="B145" s="334" t="s">
        <v>441</v>
      </c>
      <c r="C145" s="335" t="s">
        <v>442</v>
      </c>
      <c r="D145" s="309" t="s">
        <v>290</v>
      </c>
      <c r="E145" s="336">
        <v>1</v>
      </c>
      <c r="F145" s="337">
        <v>345.9</v>
      </c>
      <c r="G145" s="338">
        <f>ROUND(F145*E145,1)</f>
        <v>345.9</v>
      </c>
      <c r="H145" s="339">
        <v>-1</v>
      </c>
      <c r="I145" s="340">
        <f t="shared" si="4"/>
        <v>345.9</v>
      </c>
      <c r="J145" s="341">
        <f t="shared" si="7"/>
        <v>-345.9</v>
      </c>
      <c r="K145" s="342">
        <f t="shared" si="5"/>
        <v>0</v>
      </c>
      <c r="L145" s="343">
        <f t="shared" si="6"/>
        <v>345.9</v>
      </c>
      <c r="M145" s="344">
        <f>ROUND(L145*K145,1)</f>
        <v>0</v>
      </c>
    </row>
    <row r="146" spans="1:15" s="345" customFormat="1" x14ac:dyDescent="0.2">
      <c r="A146" s="99"/>
      <c r="B146" s="100" t="s">
        <v>68</v>
      </c>
      <c r="C146" s="101" t="s">
        <v>51</v>
      </c>
      <c r="D146" s="99"/>
      <c r="E146" s="102">
        <v>1</v>
      </c>
      <c r="F146" s="103"/>
      <c r="G146" s="338"/>
      <c r="H146" s="339"/>
      <c r="I146" s="340"/>
      <c r="J146" s="341"/>
      <c r="K146" s="342"/>
      <c r="L146" s="343"/>
      <c r="M146" s="344"/>
      <c r="N146" s="344"/>
      <c r="O146" s="348"/>
    </row>
    <row r="147" spans="1:15" s="345" customFormat="1" ht="31.15" customHeight="1" x14ac:dyDescent="0.2">
      <c r="A147" s="333" t="s">
        <v>101</v>
      </c>
      <c r="B147" s="334" t="s">
        <v>443</v>
      </c>
      <c r="C147" s="335" t="s">
        <v>444</v>
      </c>
      <c r="D147" s="309" t="s">
        <v>290</v>
      </c>
      <c r="E147" s="336">
        <v>1</v>
      </c>
      <c r="F147" s="337">
        <v>313.02</v>
      </c>
      <c r="G147" s="338">
        <f>ROUND(F147*E147,1)</f>
        <v>313</v>
      </c>
      <c r="H147" s="339"/>
      <c r="I147" s="340">
        <f t="shared" ref="I147:I179" si="8">F147</f>
        <v>313.02</v>
      </c>
      <c r="J147" s="341">
        <f t="shared" ref="J147:J210" si="9">H147*I147</f>
        <v>0</v>
      </c>
      <c r="K147" s="342">
        <f t="shared" ref="K147:K208" si="10">+E147+H147</f>
        <v>1</v>
      </c>
      <c r="L147" s="343">
        <f t="shared" ref="L147:L208" si="11">+I147</f>
        <v>313.02</v>
      </c>
      <c r="M147" s="344">
        <f>ROUND(L147*K147,1)</f>
        <v>313</v>
      </c>
    </row>
    <row r="148" spans="1:15" s="345" customFormat="1" x14ac:dyDescent="0.2">
      <c r="A148" s="99"/>
      <c r="B148" s="100" t="s">
        <v>68</v>
      </c>
      <c r="C148" s="101" t="s">
        <v>51</v>
      </c>
      <c r="D148" s="99"/>
      <c r="E148" s="102">
        <v>1</v>
      </c>
      <c r="F148" s="103"/>
      <c r="G148" s="338"/>
      <c r="H148" s="339"/>
      <c r="I148" s="340"/>
      <c r="J148" s="341"/>
      <c r="K148" s="342"/>
      <c r="L148" s="343"/>
      <c r="M148" s="344"/>
      <c r="N148" s="344"/>
      <c r="O148" s="348"/>
    </row>
    <row r="149" spans="1:15" s="345" customFormat="1" ht="31.15" customHeight="1" x14ac:dyDescent="0.2">
      <c r="A149" s="333" t="s">
        <v>104</v>
      </c>
      <c r="B149" s="334" t="s">
        <v>445</v>
      </c>
      <c r="C149" s="335" t="s">
        <v>446</v>
      </c>
      <c r="D149" s="309" t="s">
        <v>290</v>
      </c>
      <c r="E149" s="336">
        <v>4</v>
      </c>
      <c r="F149" s="337">
        <v>270.94</v>
      </c>
      <c r="G149" s="338">
        <f>ROUND(F149*E149,1)</f>
        <v>1083.8</v>
      </c>
      <c r="H149" s="339"/>
      <c r="I149" s="340">
        <f t="shared" si="8"/>
        <v>270.94</v>
      </c>
      <c r="J149" s="341">
        <f t="shared" si="9"/>
        <v>0</v>
      </c>
      <c r="K149" s="342">
        <f t="shared" si="10"/>
        <v>4</v>
      </c>
      <c r="L149" s="343">
        <f t="shared" si="11"/>
        <v>270.94</v>
      </c>
      <c r="M149" s="344">
        <f>ROUND(L149*K149,1)</f>
        <v>1083.8</v>
      </c>
    </row>
    <row r="150" spans="1:15" s="345" customFormat="1" x14ac:dyDescent="0.2">
      <c r="A150" s="99"/>
      <c r="B150" s="100" t="s">
        <v>68</v>
      </c>
      <c r="C150" s="101" t="s">
        <v>62</v>
      </c>
      <c r="D150" s="99"/>
      <c r="E150" s="102">
        <v>4</v>
      </c>
      <c r="F150" s="103"/>
      <c r="G150" s="338"/>
      <c r="H150" s="339"/>
      <c r="I150" s="340"/>
      <c r="J150" s="341"/>
      <c r="K150" s="342"/>
      <c r="L150" s="343"/>
      <c r="M150" s="344"/>
      <c r="N150" s="344"/>
      <c r="O150" s="348"/>
    </row>
    <row r="151" spans="1:15" s="345" customFormat="1" ht="31.15" customHeight="1" x14ac:dyDescent="0.2">
      <c r="A151" s="333" t="s">
        <v>105</v>
      </c>
      <c r="B151" s="334" t="s">
        <v>447</v>
      </c>
      <c r="C151" s="335" t="s">
        <v>448</v>
      </c>
      <c r="D151" s="309" t="s">
        <v>290</v>
      </c>
      <c r="E151" s="336">
        <v>1</v>
      </c>
      <c r="F151" s="337">
        <v>220.96</v>
      </c>
      <c r="G151" s="338">
        <f>ROUND(F151*E151,1)</f>
        <v>221</v>
      </c>
      <c r="H151" s="339"/>
      <c r="I151" s="340">
        <f t="shared" si="8"/>
        <v>220.96</v>
      </c>
      <c r="J151" s="341">
        <f t="shared" si="9"/>
        <v>0</v>
      </c>
      <c r="K151" s="342">
        <f t="shared" si="10"/>
        <v>1</v>
      </c>
      <c r="L151" s="343">
        <f t="shared" si="11"/>
        <v>220.96</v>
      </c>
      <c r="M151" s="344">
        <f>ROUND(L151*K151,1)</f>
        <v>221</v>
      </c>
    </row>
    <row r="152" spans="1:15" s="345" customFormat="1" x14ac:dyDescent="0.2">
      <c r="A152" s="99"/>
      <c r="B152" s="100" t="s">
        <v>68</v>
      </c>
      <c r="C152" s="101" t="s">
        <v>51</v>
      </c>
      <c r="D152" s="99"/>
      <c r="E152" s="102">
        <v>1</v>
      </c>
      <c r="F152" s="103"/>
      <c r="G152" s="338"/>
      <c r="H152" s="339"/>
      <c r="I152" s="340"/>
      <c r="J152" s="341"/>
      <c r="K152" s="342"/>
      <c r="L152" s="343"/>
      <c r="M152" s="344"/>
      <c r="N152" s="344"/>
      <c r="O152" s="348"/>
    </row>
    <row r="153" spans="1:15" s="345" customFormat="1" ht="31.15" customHeight="1" x14ac:dyDescent="0.2">
      <c r="A153" s="333" t="s">
        <v>106</v>
      </c>
      <c r="B153" s="334" t="s">
        <v>449</v>
      </c>
      <c r="C153" s="335" t="s">
        <v>450</v>
      </c>
      <c r="D153" s="309" t="s">
        <v>290</v>
      </c>
      <c r="E153" s="336">
        <v>4</v>
      </c>
      <c r="F153" s="337">
        <v>152.57</v>
      </c>
      <c r="G153" s="338">
        <f>ROUND(F153*E153,1)</f>
        <v>610.29999999999995</v>
      </c>
      <c r="H153" s="339"/>
      <c r="I153" s="340">
        <f t="shared" si="8"/>
        <v>152.57</v>
      </c>
      <c r="J153" s="341">
        <f t="shared" si="9"/>
        <v>0</v>
      </c>
      <c r="K153" s="342">
        <f t="shared" si="10"/>
        <v>4</v>
      </c>
      <c r="L153" s="343">
        <f t="shared" si="11"/>
        <v>152.57</v>
      </c>
      <c r="M153" s="344">
        <f>ROUND(L153*K153,1)</f>
        <v>610.29999999999995</v>
      </c>
    </row>
    <row r="154" spans="1:15" s="345" customFormat="1" ht="31.15" customHeight="1" x14ac:dyDescent="0.2">
      <c r="A154" s="333" t="s">
        <v>124</v>
      </c>
      <c r="B154" s="334" t="s">
        <v>451</v>
      </c>
      <c r="C154" s="335" t="s">
        <v>452</v>
      </c>
      <c r="D154" s="309" t="s">
        <v>290</v>
      </c>
      <c r="E154" s="336">
        <v>4</v>
      </c>
      <c r="F154" s="337">
        <v>395.88</v>
      </c>
      <c r="G154" s="338">
        <f>ROUND(F154*E154,1)</f>
        <v>1583.5</v>
      </c>
      <c r="H154" s="339"/>
      <c r="I154" s="340">
        <f t="shared" si="8"/>
        <v>395.88</v>
      </c>
      <c r="J154" s="341">
        <f t="shared" si="9"/>
        <v>0</v>
      </c>
      <c r="K154" s="342">
        <f t="shared" si="10"/>
        <v>4</v>
      </c>
      <c r="L154" s="343">
        <f t="shared" si="11"/>
        <v>395.88</v>
      </c>
      <c r="M154" s="344">
        <f>ROUND(L154*K154,1)</f>
        <v>1583.5</v>
      </c>
    </row>
    <row r="155" spans="1:15" s="345" customFormat="1" x14ac:dyDescent="0.2">
      <c r="A155" s="99"/>
      <c r="B155" s="100" t="s">
        <v>68</v>
      </c>
      <c r="C155" s="101" t="s">
        <v>62</v>
      </c>
      <c r="D155" s="99"/>
      <c r="E155" s="102">
        <v>4</v>
      </c>
      <c r="F155" s="103"/>
      <c r="G155" s="338"/>
      <c r="H155" s="339"/>
      <c r="I155" s="340"/>
      <c r="J155" s="341"/>
      <c r="K155" s="342"/>
      <c r="L155" s="343"/>
      <c r="M155" s="344"/>
      <c r="N155" s="344"/>
      <c r="O155" s="348"/>
    </row>
    <row r="156" spans="1:15" s="345" customFormat="1" ht="31.15" customHeight="1" x14ac:dyDescent="0.2">
      <c r="A156" s="333" t="s">
        <v>174</v>
      </c>
      <c r="B156" s="334" t="s">
        <v>453</v>
      </c>
      <c r="C156" s="335" t="s">
        <v>454</v>
      </c>
      <c r="D156" s="309" t="s">
        <v>96</v>
      </c>
      <c r="E156" s="336">
        <v>42.59</v>
      </c>
      <c r="F156" s="337">
        <v>3239.16</v>
      </c>
      <c r="G156" s="338">
        <f>ROUND(F156*E156,1)</f>
        <v>137955.79999999999</v>
      </c>
      <c r="H156" s="339">
        <v>-5.29</v>
      </c>
      <c r="I156" s="340">
        <f t="shared" si="8"/>
        <v>3239.16</v>
      </c>
      <c r="J156" s="341">
        <f t="shared" si="9"/>
        <v>-17135.1564</v>
      </c>
      <c r="K156" s="342">
        <f t="shared" si="10"/>
        <v>37.300000000000004</v>
      </c>
      <c r="L156" s="343">
        <f t="shared" si="11"/>
        <v>3239.16</v>
      </c>
      <c r="M156" s="344">
        <f>ROUND(L156*K156,1)</f>
        <v>120820.7</v>
      </c>
    </row>
    <row r="157" spans="1:15" s="345" customFormat="1" x14ac:dyDescent="0.2">
      <c r="A157" s="99"/>
      <c r="B157" s="100" t="s">
        <v>68</v>
      </c>
      <c r="C157" s="101" t="s">
        <v>455</v>
      </c>
      <c r="D157" s="99"/>
      <c r="E157" s="102">
        <v>32.75</v>
      </c>
      <c r="F157" s="103"/>
      <c r="G157" s="338"/>
      <c r="H157" s="339"/>
      <c r="I157" s="340"/>
      <c r="J157" s="341"/>
      <c r="K157" s="342"/>
      <c r="L157" s="343"/>
      <c r="M157" s="344"/>
      <c r="N157" s="344"/>
      <c r="O157" s="348"/>
    </row>
    <row r="158" spans="1:15" s="345" customFormat="1" x14ac:dyDescent="0.2">
      <c r="A158" s="99"/>
      <c r="B158" s="100" t="s">
        <v>68</v>
      </c>
      <c r="C158" s="101" t="s">
        <v>456</v>
      </c>
      <c r="D158" s="99"/>
      <c r="E158" s="102">
        <v>9.84</v>
      </c>
      <c r="F158" s="103"/>
      <c r="G158" s="338"/>
      <c r="H158" s="339"/>
      <c r="I158" s="340"/>
      <c r="J158" s="341"/>
      <c r="K158" s="342"/>
      <c r="L158" s="343"/>
      <c r="M158" s="344"/>
      <c r="N158" s="344"/>
      <c r="O158" s="348"/>
    </row>
    <row r="159" spans="1:15" s="345" customFormat="1" x14ac:dyDescent="0.2">
      <c r="A159" s="104"/>
      <c r="B159" s="105" t="s">
        <v>68</v>
      </c>
      <c r="C159" s="106" t="s">
        <v>71</v>
      </c>
      <c r="D159" s="104"/>
      <c r="E159" s="107">
        <v>42.59</v>
      </c>
      <c r="F159" s="108"/>
      <c r="G159" s="338"/>
      <c r="H159" s="339"/>
      <c r="I159" s="340"/>
      <c r="J159" s="341"/>
      <c r="K159" s="342"/>
      <c r="L159" s="343"/>
      <c r="M159" s="344"/>
      <c r="N159" s="344"/>
      <c r="O159" s="348"/>
    </row>
    <row r="160" spans="1:15" s="345" customFormat="1" ht="31.15" customHeight="1" x14ac:dyDescent="0.2">
      <c r="A160" s="333" t="s">
        <v>280</v>
      </c>
      <c r="B160" s="334" t="s">
        <v>268</v>
      </c>
      <c r="C160" s="335" t="s">
        <v>269</v>
      </c>
      <c r="D160" s="309" t="s">
        <v>96</v>
      </c>
      <c r="E160" s="336">
        <v>3.33</v>
      </c>
      <c r="F160" s="337">
        <v>3188.13</v>
      </c>
      <c r="G160" s="338">
        <f>ROUND(F160*E160,1)</f>
        <v>10616.5</v>
      </c>
      <c r="H160" s="339">
        <v>-1.34</v>
      </c>
      <c r="I160" s="340">
        <f t="shared" si="8"/>
        <v>3188.13</v>
      </c>
      <c r="J160" s="341">
        <f t="shared" si="9"/>
        <v>-4272.0942000000005</v>
      </c>
      <c r="K160" s="342">
        <f t="shared" si="10"/>
        <v>1.99</v>
      </c>
      <c r="L160" s="343">
        <f t="shared" si="11"/>
        <v>3188.13</v>
      </c>
      <c r="M160" s="344">
        <f>ROUND(L160*K160,1)</f>
        <v>6344.4</v>
      </c>
    </row>
    <row r="161" spans="1:15" s="345" customFormat="1" x14ac:dyDescent="0.2">
      <c r="A161" s="99"/>
      <c r="B161" s="100" t="s">
        <v>68</v>
      </c>
      <c r="C161" s="101" t="s">
        <v>457</v>
      </c>
      <c r="D161" s="99"/>
      <c r="E161" s="102">
        <v>3.33</v>
      </c>
      <c r="F161" s="103"/>
      <c r="G161" s="338"/>
      <c r="H161" s="339"/>
      <c r="I161" s="340"/>
      <c r="J161" s="341"/>
      <c r="K161" s="342"/>
      <c r="L161" s="343"/>
      <c r="M161" s="344"/>
      <c r="N161" s="344"/>
      <c r="O161" s="348"/>
    </row>
    <row r="162" spans="1:15" s="325" customFormat="1" ht="24" customHeight="1" x14ac:dyDescent="0.2">
      <c r="A162" s="326" t="s">
        <v>72</v>
      </c>
      <c r="B162" s="327" t="s">
        <v>73</v>
      </c>
      <c r="C162" s="328"/>
      <c r="D162" s="328"/>
      <c r="E162" s="329"/>
      <c r="F162" s="330"/>
      <c r="G162" s="331"/>
      <c r="H162" s="332"/>
      <c r="I162" s="332"/>
      <c r="J162" s="332"/>
      <c r="K162" s="331"/>
      <c r="L162" s="331"/>
      <c r="M162" s="331"/>
    </row>
    <row r="163" spans="1:15" s="345" customFormat="1" ht="31.15" customHeight="1" x14ac:dyDescent="0.2">
      <c r="A163" s="333" t="s">
        <v>282</v>
      </c>
      <c r="B163" s="334" t="s">
        <v>274</v>
      </c>
      <c r="C163" s="335" t="s">
        <v>275</v>
      </c>
      <c r="D163" s="309" t="s">
        <v>66</v>
      </c>
      <c r="E163" s="336">
        <v>352.17</v>
      </c>
      <c r="F163" s="337">
        <v>302.54000000000002</v>
      </c>
      <c r="G163" s="338">
        <f>ROUND(F163*E163,1)</f>
        <v>106545.5</v>
      </c>
      <c r="H163" s="339">
        <f>H18</f>
        <v>-49.973000000000006</v>
      </c>
      <c r="I163" s="340">
        <f t="shared" si="8"/>
        <v>302.54000000000002</v>
      </c>
      <c r="J163" s="341">
        <f t="shared" si="9"/>
        <v>-15118.831420000002</v>
      </c>
      <c r="K163" s="342">
        <f t="shared" si="10"/>
        <v>302.197</v>
      </c>
      <c r="L163" s="343">
        <f t="shared" si="11"/>
        <v>302.54000000000002</v>
      </c>
      <c r="M163" s="344">
        <f>ROUND(L163*K163,1)</f>
        <v>91426.7</v>
      </c>
    </row>
    <row r="164" spans="1:15" s="325" customFormat="1" x14ac:dyDescent="0.2">
      <c r="A164" s="99"/>
      <c r="B164" s="100" t="s">
        <v>68</v>
      </c>
      <c r="C164" s="101" t="s">
        <v>369</v>
      </c>
      <c r="D164" s="99"/>
      <c r="E164" s="102"/>
      <c r="F164" s="103"/>
      <c r="G164" s="338"/>
      <c r="H164" s="339"/>
      <c r="I164" s="340"/>
      <c r="J164" s="341"/>
      <c r="K164" s="342"/>
      <c r="L164" s="343"/>
      <c r="M164" s="344"/>
      <c r="O164" s="348"/>
    </row>
    <row r="165" spans="1:15" s="325" customFormat="1" x14ac:dyDescent="0.2">
      <c r="A165" s="99"/>
      <c r="B165" s="100" t="s">
        <v>68</v>
      </c>
      <c r="C165" s="101" t="s">
        <v>370</v>
      </c>
      <c r="D165" s="99"/>
      <c r="E165" s="102"/>
      <c r="F165" s="103"/>
      <c r="G165" s="338"/>
      <c r="H165" s="339"/>
      <c r="I165" s="340"/>
      <c r="J165" s="341"/>
      <c r="K165" s="342"/>
      <c r="L165" s="343"/>
      <c r="M165" s="344"/>
      <c r="O165" s="348"/>
    </row>
    <row r="166" spans="1:15" s="325" customFormat="1" x14ac:dyDescent="0.2">
      <c r="A166" s="104"/>
      <c r="B166" s="105" t="s">
        <v>68</v>
      </c>
      <c r="C166" s="106" t="s">
        <v>71</v>
      </c>
      <c r="D166" s="104"/>
      <c r="E166" s="107"/>
      <c r="F166" s="108"/>
      <c r="G166" s="338"/>
      <c r="H166" s="339"/>
      <c r="I166" s="340"/>
      <c r="J166" s="341"/>
      <c r="K166" s="342"/>
      <c r="L166" s="343"/>
      <c r="M166" s="344"/>
      <c r="O166" s="348"/>
    </row>
    <row r="167" spans="1:15" s="345" customFormat="1" ht="31.15" customHeight="1" x14ac:dyDescent="0.2">
      <c r="A167" s="333" t="s">
        <v>285</v>
      </c>
      <c r="B167" s="334" t="s">
        <v>102</v>
      </c>
      <c r="C167" s="335" t="s">
        <v>103</v>
      </c>
      <c r="D167" s="309" t="s">
        <v>66</v>
      </c>
      <c r="E167" s="336">
        <v>352.17</v>
      </c>
      <c r="F167" s="337">
        <v>14.18</v>
      </c>
      <c r="G167" s="338">
        <f>ROUND(F167*E167,1)</f>
        <v>4993.8</v>
      </c>
      <c r="H167" s="339">
        <f>+H163</f>
        <v>-49.973000000000006</v>
      </c>
      <c r="I167" s="340">
        <f t="shared" si="8"/>
        <v>14.18</v>
      </c>
      <c r="J167" s="341">
        <f t="shared" si="9"/>
        <v>-708.61714000000006</v>
      </c>
      <c r="K167" s="342">
        <f t="shared" si="10"/>
        <v>302.197</v>
      </c>
      <c r="L167" s="343">
        <f t="shared" si="11"/>
        <v>14.18</v>
      </c>
      <c r="M167" s="344">
        <f>ROUND(L167*K167,1)</f>
        <v>4285.2</v>
      </c>
    </row>
    <row r="168" spans="1:15" s="325" customFormat="1" x14ac:dyDescent="0.2">
      <c r="A168" s="99"/>
      <c r="B168" s="100" t="s">
        <v>68</v>
      </c>
      <c r="C168" s="101" t="s">
        <v>369</v>
      </c>
      <c r="D168" s="99"/>
      <c r="E168" s="102"/>
      <c r="F168" s="103"/>
      <c r="G168" s="338"/>
      <c r="H168" s="339"/>
      <c r="I168" s="340"/>
      <c r="J168" s="341"/>
      <c r="K168" s="342"/>
      <c r="L168" s="343"/>
      <c r="M168" s="344"/>
      <c r="O168" s="348"/>
    </row>
    <row r="169" spans="1:15" s="325" customFormat="1" x14ac:dyDescent="0.2">
      <c r="A169" s="99"/>
      <c r="B169" s="100" t="s">
        <v>68</v>
      </c>
      <c r="C169" s="101" t="s">
        <v>370</v>
      </c>
      <c r="D169" s="99"/>
      <c r="E169" s="102"/>
      <c r="F169" s="103"/>
      <c r="G169" s="338"/>
      <c r="H169" s="339"/>
      <c r="I169" s="340"/>
      <c r="J169" s="341"/>
      <c r="K169" s="342"/>
      <c r="L169" s="343"/>
      <c r="M169" s="344"/>
      <c r="O169" s="348"/>
    </row>
    <row r="170" spans="1:15" s="325" customFormat="1" x14ac:dyDescent="0.2">
      <c r="A170" s="104"/>
      <c r="B170" s="105" t="s">
        <v>68</v>
      </c>
      <c r="C170" s="106" t="s">
        <v>71</v>
      </c>
      <c r="D170" s="104"/>
      <c r="E170" s="107"/>
      <c r="F170" s="108"/>
      <c r="G170" s="338"/>
      <c r="H170" s="339"/>
      <c r="I170" s="340"/>
      <c r="J170" s="341"/>
      <c r="K170" s="342"/>
      <c r="L170" s="343"/>
      <c r="M170" s="344"/>
      <c r="O170" s="348"/>
    </row>
    <row r="171" spans="1:15" s="345" customFormat="1" ht="31.15" customHeight="1" x14ac:dyDescent="0.2">
      <c r="A171" s="333" t="s">
        <v>74</v>
      </c>
      <c r="B171" s="334" t="s">
        <v>75</v>
      </c>
      <c r="C171" s="335" t="s">
        <v>76</v>
      </c>
      <c r="D171" s="309" t="s">
        <v>66</v>
      </c>
      <c r="E171" s="336">
        <v>669.62</v>
      </c>
      <c r="F171" s="337">
        <v>20.62</v>
      </c>
      <c r="G171" s="338">
        <f>ROUND(F171*E171,1)</f>
        <v>13807.6</v>
      </c>
      <c r="H171" s="339">
        <f>+H22</f>
        <v>0</v>
      </c>
      <c r="I171" s="340">
        <f t="shared" si="8"/>
        <v>20.62</v>
      </c>
      <c r="J171" s="341">
        <f t="shared" si="9"/>
        <v>0</v>
      </c>
      <c r="K171" s="342">
        <f t="shared" si="10"/>
        <v>669.62</v>
      </c>
      <c r="L171" s="343">
        <f t="shared" si="11"/>
        <v>20.62</v>
      </c>
      <c r="M171" s="344">
        <f>ROUND(L171*K171,1)</f>
        <v>13807.6</v>
      </c>
    </row>
    <row r="172" spans="1:15" s="325" customFormat="1" x14ac:dyDescent="0.2">
      <c r="A172" s="99"/>
      <c r="B172" s="100" t="s">
        <v>68</v>
      </c>
      <c r="C172" s="101" t="s">
        <v>69</v>
      </c>
      <c r="D172" s="99"/>
      <c r="E172" s="102"/>
      <c r="F172" s="103"/>
      <c r="G172" s="338"/>
      <c r="H172" s="339"/>
      <c r="I172" s="340"/>
      <c r="J172" s="341"/>
      <c r="K172" s="342"/>
      <c r="L172" s="343"/>
      <c r="M172" s="344"/>
      <c r="O172" s="348"/>
    </row>
    <row r="173" spans="1:15" s="325" customFormat="1" x14ac:dyDescent="0.2">
      <c r="A173" s="99"/>
      <c r="B173" s="100" t="s">
        <v>68</v>
      </c>
      <c r="C173" s="101" t="s">
        <v>70</v>
      </c>
      <c r="D173" s="99"/>
      <c r="E173" s="102"/>
      <c r="F173" s="103"/>
      <c r="G173" s="338"/>
      <c r="H173" s="339"/>
      <c r="I173" s="340"/>
      <c r="J173" s="341"/>
      <c r="K173" s="342"/>
      <c r="L173" s="343"/>
      <c r="M173" s="344"/>
      <c r="O173" s="348"/>
    </row>
    <row r="174" spans="1:15" s="325" customFormat="1" x14ac:dyDescent="0.2">
      <c r="A174" s="104"/>
      <c r="B174" s="105" t="s">
        <v>68</v>
      </c>
      <c r="C174" s="106" t="s">
        <v>71</v>
      </c>
      <c r="D174" s="104"/>
      <c r="E174" s="107"/>
      <c r="F174" s="108"/>
      <c r="G174" s="338"/>
      <c r="H174" s="339"/>
      <c r="I174" s="340"/>
      <c r="J174" s="341"/>
      <c r="K174" s="342"/>
      <c r="L174" s="343"/>
      <c r="M174" s="344"/>
      <c r="O174" s="348"/>
    </row>
    <row r="175" spans="1:15" s="345" customFormat="1" ht="31.15" customHeight="1" x14ac:dyDescent="0.2">
      <c r="A175" s="333" t="s">
        <v>77</v>
      </c>
      <c r="B175" s="334" t="s">
        <v>78</v>
      </c>
      <c r="C175" s="335" t="s">
        <v>79</v>
      </c>
      <c r="D175" s="309" t="s">
        <v>66</v>
      </c>
      <c r="E175" s="336">
        <v>669.62</v>
      </c>
      <c r="F175" s="337">
        <v>396.71</v>
      </c>
      <c r="G175" s="338">
        <f>ROUND(F175*E175,1)</f>
        <v>265645</v>
      </c>
      <c r="H175" s="339">
        <f>H171</f>
        <v>0</v>
      </c>
      <c r="I175" s="340">
        <f t="shared" si="8"/>
        <v>396.71</v>
      </c>
      <c r="J175" s="341">
        <f t="shared" si="9"/>
        <v>0</v>
      </c>
      <c r="K175" s="342">
        <f t="shared" si="10"/>
        <v>669.62</v>
      </c>
      <c r="L175" s="343">
        <f t="shared" si="11"/>
        <v>396.71</v>
      </c>
      <c r="M175" s="344">
        <f>ROUND(L175*K175,1)</f>
        <v>265645</v>
      </c>
    </row>
    <row r="176" spans="1:15" s="325" customFormat="1" x14ac:dyDescent="0.2">
      <c r="A176" s="99"/>
      <c r="B176" s="100" t="s">
        <v>68</v>
      </c>
      <c r="C176" s="101" t="s">
        <v>69</v>
      </c>
      <c r="D176" s="99"/>
      <c r="E176" s="102"/>
      <c r="F176" s="103"/>
      <c r="G176" s="338"/>
      <c r="H176" s="339"/>
      <c r="I176" s="340"/>
      <c r="J176" s="341"/>
      <c r="K176" s="342"/>
      <c r="L176" s="343"/>
      <c r="M176" s="344"/>
      <c r="O176" s="348"/>
    </row>
    <row r="177" spans="1:15" s="325" customFormat="1" x14ac:dyDescent="0.2">
      <c r="A177" s="99"/>
      <c r="B177" s="100" t="s">
        <v>68</v>
      </c>
      <c r="C177" s="101" t="s">
        <v>70</v>
      </c>
      <c r="D177" s="99"/>
      <c r="E177" s="102"/>
      <c r="F177" s="103"/>
      <c r="G177" s="338"/>
      <c r="H177" s="339"/>
      <c r="I177" s="340"/>
      <c r="J177" s="341"/>
      <c r="K177" s="342"/>
      <c r="L177" s="343"/>
      <c r="M177" s="344"/>
      <c r="O177" s="348"/>
    </row>
    <row r="178" spans="1:15" s="325" customFormat="1" x14ac:dyDescent="0.2">
      <c r="A178" s="104"/>
      <c r="B178" s="105" t="s">
        <v>68</v>
      </c>
      <c r="C178" s="106" t="s">
        <v>71</v>
      </c>
      <c r="D178" s="104"/>
      <c r="E178" s="107"/>
      <c r="F178" s="108"/>
      <c r="G178" s="338"/>
      <c r="H178" s="339"/>
      <c r="I178" s="340"/>
      <c r="J178" s="341"/>
      <c r="K178" s="342"/>
      <c r="L178" s="343"/>
      <c r="M178" s="344"/>
      <c r="O178" s="348"/>
    </row>
    <row r="179" spans="1:15" s="345" customFormat="1" ht="31.15" customHeight="1" x14ac:dyDescent="0.2">
      <c r="A179" s="333" t="s">
        <v>293</v>
      </c>
      <c r="B179" s="334" t="s">
        <v>107</v>
      </c>
      <c r="C179" s="335" t="s">
        <v>108</v>
      </c>
      <c r="D179" s="309" t="s">
        <v>66</v>
      </c>
      <c r="E179" s="336">
        <v>352.17</v>
      </c>
      <c r="F179" s="337">
        <v>559.51</v>
      </c>
      <c r="G179" s="338">
        <f>ROUND(F179*E179,1)</f>
        <v>197042.6</v>
      </c>
      <c r="H179" s="339">
        <f>+H167</f>
        <v>-49.973000000000006</v>
      </c>
      <c r="I179" s="340">
        <f t="shared" si="8"/>
        <v>559.51</v>
      </c>
      <c r="J179" s="341">
        <f t="shared" si="9"/>
        <v>-27960.393230000001</v>
      </c>
      <c r="K179" s="342">
        <f t="shared" si="10"/>
        <v>302.197</v>
      </c>
      <c r="L179" s="343">
        <f t="shared" si="11"/>
        <v>559.51</v>
      </c>
      <c r="M179" s="344">
        <f>ROUND(L179*K179,1)</f>
        <v>169082.2</v>
      </c>
    </row>
    <row r="180" spans="1:15" s="325" customFormat="1" x14ac:dyDescent="0.2">
      <c r="A180" s="99"/>
      <c r="B180" s="100" t="s">
        <v>68</v>
      </c>
      <c r="C180" s="101" t="s">
        <v>369</v>
      </c>
      <c r="D180" s="99"/>
      <c r="E180" s="102"/>
      <c r="F180" s="103"/>
      <c r="G180" s="338"/>
      <c r="H180" s="339"/>
      <c r="I180" s="340"/>
      <c r="J180" s="341"/>
      <c r="K180" s="342"/>
      <c r="L180" s="343"/>
      <c r="M180" s="344"/>
      <c r="O180" s="348"/>
    </row>
    <row r="181" spans="1:15" s="325" customFormat="1" x14ac:dyDescent="0.2">
      <c r="A181" s="99"/>
      <c r="B181" s="100" t="s">
        <v>68</v>
      </c>
      <c r="C181" s="101" t="s">
        <v>370</v>
      </c>
      <c r="D181" s="99"/>
      <c r="E181" s="102"/>
      <c r="F181" s="103"/>
      <c r="G181" s="338"/>
      <c r="H181" s="339"/>
      <c r="I181" s="340"/>
      <c r="J181" s="341"/>
      <c r="K181" s="342"/>
      <c r="L181" s="343"/>
      <c r="M181" s="344"/>
      <c r="O181" s="348"/>
    </row>
    <row r="182" spans="1:15" s="325" customFormat="1" x14ac:dyDescent="0.2">
      <c r="A182" s="104"/>
      <c r="B182" s="105" t="s">
        <v>68</v>
      </c>
      <c r="C182" s="106" t="s">
        <v>71</v>
      </c>
      <c r="D182" s="104"/>
      <c r="E182" s="107"/>
      <c r="F182" s="108"/>
      <c r="G182" s="338"/>
      <c r="H182" s="339"/>
      <c r="I182" s="340"/>
      <c r="J182" s="341"/>
      <c r="K182" s="342"/>
      <c r="L182" s="343"/>
      <c r="M182" s="344"/>
      <c r="O182" s="348"/>
    </row>
    <row r="183" spans="1:15" s="325" customFormat="1" ht="24" customHeight="1" x14ac:dyDescent="0.2">
      <c r="A183" s="326" t="s">
        <v>123</v>
      </c>
      <c r="B183" s="327" t="s">
        <v>281</v>
      </c>
      <c r="C183" s="328"/>
      <c r="D183" s="328"/>
      <c r="E183" s="329"/>
      <c r="F183" s="330"/>
      <c r="G183" s="330"/>
      <c r="H183" s="330"/>
      <c r="I183" s="330"/>
      <c r="J183" s="330"/>
      <c r="K183" s="330"/>
      <c r="L183" s="330"/>
      <c r="M183" s="330"/>
    </row>
    <row r="184" spans="1:15" s="345" customFormat="1" ht="31.15" customHeight="1" x14ac:dyDescent="0.2">
      <c r="A184" s="333" t="s">
        <v>296</v>
      </c>
      <c r="B184" s="334" t="s">
        <v>458</v>
      </c>
      <c r="C184" s="335" t="s">
        <v>459</v>
      </c>
      <c r="D184" s="309" t="s">
        <v>114</v>
      </c>
      <c r="E184" s="336">
        <v>311.27</v>
      </c>
      <c r="F184" s="337">
        <v>552.39</v>
      </c>
      <c r="G184" s="338">
        <f>ROUND(F184*E184,1)</f>
        <v>171942.39999999999</v>
      </c>
      <c r="H184" s="339">
        <v>-48.7</v>
      </c>
      <c r="I184" s="340">
        <f t="shared" ref="I184:I241" si="12">F184</f>
        <v>552.39</v>
      </c>
      <c r="J184" s="341">
        <f t="shared" si="9"/>
        <v>-26901.393</v>
      </c>
      <c r="K184" s="342">
        <f t="shared" si="10"/>
        <v>262.57</v>
      </c>
      <c r="L184" s="343">
        <f t="shared" si="11"/>
        <v>552.39</v>
      </c>
      <c r="M184" s="344">
        <f>ROUND(L184*K184,1)</f>
        <v>145041</v>
      </c>
      <c r="O184" s="355"/>
    </row>
    <row r="185" spans="1:15" x14ac:dyDescent="0.2">
      <c r="A185" s="99"/>
      <c r="B185" s="100" t="s">
        <v>68</v>
      </c>
      <c r="C185" s="101" t="s">
        <v>460</v>
      </c>
      <c r="D185" s="99"/>
      <c r="E185" s="102"/>
      <c r="F185" s="103"/>
      <c r="G185" s="338"/>
      <c r="H185" s="339"/>
      <c r="I185" s="340"/>
      <c r="J185" s="341"/>
      <c r="K185" s="342"/>
      <c r="L185" s="343"/>
      <c r="M185" s="344"/>
      <c r="O185" s="348"/>
    </row>
    <row r="186" spans="1:15" s="345" customFormat="1" ht="31.15" customHeight="1" x14ac:dyDescent="0.2">
      <c r="A186" s="333" t="s">
        <v>149</v>
      </c>
      <c r="B186" s="334" t="s">
        <v>461</v>
      </c>
      <c r="C186" s="335" t="s">
        <v>462</v>
      </c>
      <c r="D186" s="309" t="s">
        <v>114</v>
      </c>
      <c r="E186" s="336">
        <v>311.27</v>
      </c>
      <c r="F186" s="337">
        <v>1060.07</v>
      </c>
      <c r="G186" s="338">
        <f>ROUND(F186*E186,1)</f>
        <v>329968</v>
      </c>
      <c r="H186" s="339">
        <v>-48.7</v>
      </c>
      <c r="I186" s="340">
        <f t="shared" si="12"/>
        <v>1060.07</v>
      </c>
      <c r="J186" s="341">
        <f t="shared" si="9"/>
        <v>-51625.409</v>
      </c>
      <c r="K186" s="342">
        <f t="shared" si="10"/>
        <v>262.57</v>
      </c>
      <c r="L186" s="343">
        <f t="shared" si="11"/>
        <v>1060.07</v>
      </c>
      <c r="M186" s="344">
        <f>ROUND(L186*K186,1)</f>
        <v>278342.59999999998</v>
      </c>
    </row>
    <row r="187" spans="1:15" x14ac:dyDescent="0.2">
      <c r="A187" s="99"/>
      <c r="B187" s="100" t="s">
        <v>68</v>
      </c>
      <c r="C187" s="101" t="s">
        <v>460</v>
      </c>
      <c r="D187" s="99"/>
      <c r="E187" s="102"/>
      <c r="F187" s="103"/>
      <c r="G187" s="338"/>
      <c r="H187" s="339"/>
      <c r="I187" s="340"/>
      <c r="J187" s="341"/>
      <c r="K187" s="342"/>
      <c r="L187" s="343"/>
      <c r="M187" s="344"/>
      <c r="O187" s="348"/>
    </row>
    <row r="188" spans="1:15" s="345" customFormat="1" ht="31.15" customHeight="1" x14ac:dyDescent="0.2">
      <c r="A188" s="333" t="s">
        <v>125</v>
      </c>
      <c r="B188" s="334" t="s">
        <v>463</v>
      </c>
      <c r="C188" s="335" t="s">
        <v>464</v>
      </c>
      <c r="D188" s="309" t="s">
        <v>290</v>
      </c>
      <c r="E188" s="336">
        <v>17</v>
      </c>
      <c r="F188" s="337">
        <v>739.15</v>
      </c>
      <c r="G188" s="338">
        <f>ROUND(F188*E188,1)</f>
        <v>12565.6</v>
      </c>
      <c r="H188" s="339"/>
      <c r="I188" s="340">
        <f t="shared" si="12"/>
        <v>739.15</v>
      </c>
      <c r="J188" s="341">
        <f t="shared" si="9"/>
        <v>0</v>
      </c>
      <c r="K188" s="342">
        <f t="shared" si="10"/>
        <v>17</v>
      </c>
      <c r="L188" s="343">
        <f t="shared" si="11"/>
        <v>739.15</v>
      </c>
      <c r="M188" s="344">
        <f>ROUND(L188*K188,1)</f>
        <v>12565.6</v>
      </c>
    </row>
    <row r="189" spans="1:15" x14ac:dyDescent="0.2">
      <c r="A189" s="99"/>
      <c r="B189" s="100" t="s">
        <v>68</v>
      </c>
      <c r="C189" s="101" t="s">
        <v>465</v>
      </c>
      <c r="D189" s="99"/>
      <c r="E189" s="102">
        <v>17</v>
      </c>
      <c r="F189" s="103"/>
      <c r="G189" s="338"/>
      <c r="H189" s="339"/>
      <c r="I189" s="340"/>
      <c r="J189" s="341"/>
      <c r="K189" s="342"/>
      <c r="L189" s="343"/>
      <c r="M189" s="344"/>
      <c r="O189" s="348"/>
    </row>
    <row r="190" spans="1:15" s="345" customFormat="1" ht="31.15" customHeight="1" x14ac:dyDescent="0.2">
      <c r="A190" s="333" t="s">
        <v>126</v>
      </c>
      <c r="B190" s="334" t="s">
        <v>466</v>
      </c>
      <c r="C190" s="335" t="s">
        <v>467</v>
      </c>
      <c r="D190" s="309" t="s">
        <v>290</v>
      </c>
      <c r="E190" s="336">
        <v>5</v>
      </c>
      <c r="F190" s="337">
        <v>260.41000000000003</v>
      </c>
      <c r="G190" s="338">
        <f>ROUND(F190*E190,1)</f>
        <v>1302.0999999999999</v>
      </c>
      <c r="H190" s="339">
        <v>-1</v>
      </c>
      <c r="I190" s="340">
        <f t="shared" si="12"/>
        <v>260.41000000000003</v>
      </c>
      <c r="J190" s="341">
        <f t="shared" si="9"/>
        <v>-260.41000000000003</v>
      </c>
      <c r="K190" s="342">
        <f t="shared" si="10"/>
        <v>4</v>
      </c>
      <c r="L190" s="343">
        <f t="shared" si="11"/>
        <v>260.41000000000003</v>
      </c>
      <c r="M190" s="344">
        <f>ROUND(L190*K190,1)</f>
        <v>1041.5999999999999</v>
      </c>
    </row>
    <row r="191" spans="1:15" x14ac:dyDescent="0.2">
      <c r="A191" s="99"/>
      <c r="B191" s="100" t="s">
        <v>68</v>
      </c>
      <c r="C191" s="101" t="s">
        <v>468</v>
      </c>
      <c r="D191" s="99"/>
      <c r="E191" s="102"/>
      <c r="F191" s="103"/>
      <c r="G191" s="338"/>
      <c r="H191" s="339"/>
      <c r="I191" s="340"/>
      <c r="J191" s="341"/>
      <c r="K191" s="342"/>
      <c r="L191" s="343"/>
      <c r="M191" s="344"/>
      <c r="O191" s="348"/>
    </row>
    <row r="192" spans="1:15" s="345" customFormat="1" ht="31.15" customHeight="1" x14ac:dyDescent="0.2">
      <c r="A192" s="333" t="s">
        <v>127</v>
      </c>
      <c r="B192" s="334" t="s">
        <v>469</v>
      </c>
      <c r="C192" s="335" t="s">
        <v>470</v>
      </c>
      <c r="D192" s="309" t="s">
        <v>290</v>
      </c>
      <c r="E192" s="336">
        <v>5.08</v>
      </c>
      <c r="F192" s="337">
        <v>1801.85</v>
      </c>
      <c r="G192" s="338">
        <f>ROUND(F192*E192,1)</f>
        <v>9153.4</v>
      </c>
      <c r="H192" s="339">
        <v>-1</v>
      </c>
      <c r="I192" s="340">
        <f t="shared" si="12"/>
        <v>1801.85</v>
      </c>
      <c r="J192" s="341">
        <f t="shared" si="9"/>
        <v>-1801.85</v>
      </c>
      <c r="K192" s="342">
        <f t="shared" si="10"/>
        <v>4.08</v>
      </c>
      <c r="L192" s="343">
        <f t="shared" si="11"/>
        <v>1801.85</v>
      </c>
      <c r="M192" s="344">
        <f>ROUND(L192*K192,1)</f>
        <v>7351.5</v>
      </c>
    </row>
    <row r="193" spans="1:15" x14ac:dyDescent="0.2">
      <c r="A193" s="99"/>
      <c r="B193" s="100" t="s">
        <v>68</v>
      </c>
      <c r="C193" s="101" t="s">
        <v>72</v>
      </c>
      <c r="D193" s="99"/>
      <c r="E193" s="102"/>
      <c r="F193" s="103"/>
      <c r="G193" s="338"/>
      <c r="H193" s="339"/>
      <c r="I193" s="340"/>
      <c r="J193" s="341"/>
      <c r="K193" s="342"/>
      <c r="L193" s="343"/>
      <c r="M193" s="344"/>
      <c r="O193" s="348"/>
    </row>
    <row r="194" spans="1:15" x14ac:dyDescent="0.2">
      <c r="A194" s="99"/>
      <c r="B194" s="99"/>
      <c r="C194" s="101" t="s">
        <v>471</v>
      </c>
      <c r="D194" s="99"/>
      <c r="E194" s="102"/>
      <c r="F194" s="103"/>
      <c r="G194" s="338"/>
      <c r="H194" s="339"/>
      <c r="I194" s="340"/>
      <c r="J194" s="341"/>
      <c r="K194" s="342"/>
      <c r="L194" s="343"/>
      <c r="M194" s="344"/>
      <c r="O194" s="348"/>
    </row>
    <row r="195" spans="1:15" s="345" customFormat="1" ht="31.15" customHeight="1" x14ac:dyDescent="0.2">
      <c r="A195" s="333" t="s">
        <v>128</v>
      </c>
      <c r="B195" s="334" t="s">
        <v>472</v>
      </c>
      <c r="C195" s="335" t="s">
        <v>473</v>
      </c>
      <c r="D195" s="309" t="s">
        <v>290</v>
      </c>
      <c r="E195" s="336">
        <v>23</v>
      </c>
      <c r="F195" s="337">
        <v>219.64</v>
      </c>
      <c r="G195" s="338">
        <f>ROUND(F195*E195,1)</f>
        <v>5051.7</v>
      </c>
      <c r="H195" s="339"/>
      <c r="I195" s="340">
        <f t="shared" si="12"/>
        <v>219.64</v>
      </c>
      <c r="J195" s="341">
        <f t="shared" si="9"/>
        <v>0</v>
      </c>
      <c r="K195" s="342">
        <f t="shared" si="10"/>
        <v>23</v>
      </c>
      <c r="L195" s="343">
        <f t="shared" si="11"/>
        <v>219.64</v>
      </c>
      <c r="M195" s="344">
        <f>ROUND(L195*K195,1)</f>
        <v>5051.7</v>
      </c>
    </row>
    <row r="196" spans="1:15" x14ac:dyDescent="0.2">
      <c r="A196" s="99"/>
      <c r="B196" s="100" t="s">
        <v>68</v>
      </c>
      <c r="C196" s="101" t="s">
        <v>474</v>
      </c>
      <c r="D196" s="99"/>
      <c r="E196" s="102"/>
      <c r="F196" s="103"/>
      <c r="G196" s="338"/>
      <c r="H196" s="339"/>
      <c r="I196" s="340"/>
      <c r="J196" s="341"/>
      <c r="K196" s="342"/>
      <c r="L196" s="343"/>
      <c r="M196" s="344"/>
      <c r="O196" s="348"/>
    </row>
    <row r="197" spans="1:15" s="345" customFormat="1" ht="31.15" customHeight="1" x14ac:dyDescent="0.2">
      <c r="A197" s="333" t="s">
        <v>301</v>
      </c>
      <c r="B197" s="334" t="s">
        <v>475</v>
      </c>
      <c r="C197" s="335" t="s">
        <v>476</v>
      </c>
      <c r="D197" s="309" t="s">
        <v>290</v>
      </c>
      <c r="E197" s="336">
        <v>12.18</v>
      </c>
      <c r="F197" s="337">
        <v>1129.77</v>
      </c>
      <c r="G197" s="338">
        <f>ROUND(F197*E197,1)</f>
        <v>13760.6</v>
      </c>
      <c r="H197" s="339"/>
      <c r="I197" s="340">
        <f t="shared" si="12"/>
        <v>1129.77</v>
      </c>
      <c r="J197" s="341">
        <f t="shared" si="9"/>
        <v>0</v>
      </c>
      <c r="K197" s="342">
        <f t="shared" si="10"/>
        <v>12.18</v>
      </c>
      <c r="L197" s="343">
        <f t="shared" si="11"/>
        <v>1129.77</v>
      </c>
      <c r="M197" s="344">
        <f>ROUND(L197*K197,1)</f>
        <v>13760.6</v>
      </c>
    </row>
    <row r="198" spans="1:15" x14ac:dyDescent="0.2">
      <c r="A198" s="99"/>
      <c r="B198" s="100" t="s">
        <v>68</v>
      </c>
      <c r="C198" s="101" t="s">
        <v>93</v>
      </c>
      <c r="D198" s="99"/>
      <c r="E198" s="102"/>
      <c r="F198" s="103"/>
      <c r="G198" s="338"/>
      <c r="H198" s="339"/>
      <c r="I198" s="340"/>
      <c r="J198" s="341"/>
      <c r="K198" s="342"/>
      <c r="L198" s="343"/>
      <c r="M198" s="344"/>
      <c r="O198" s="348"/>
    </row>
    <row r="199" spans="1:15" x14ac:dyDescent="0.2">
      <c r="A199" s="99"/>
      <c r="B199" s="99"/>
      <c r="C199" s="101" t="s">
        <v>477</v>
      </c>
      <c r="D199" s="99"/>
      <c r="E199" s="102"/>
      <c r="F199" s="103"/>
      <c r="G199" s="338"/>
      <c r="H199" s="339"/>
      <c r="I199" s="340"/>
      <c r="J199" s="341"/>
      <c r="K199" s="342"/>
      <c r="L199" s="343"/>
      <c r="M199" s="344"/>
      <c r="O199" s="348"/>
    </row>
    <row r="200" spans="1:15" s="345" customFormat="1" ht="31.15" customHeight="1" x14ac:dyDescent="0.2">
      <c r="A200" s="333" t="s">
        <v>302</v>
      </c>
      <c r="B200" s="334" t="s">
        <v>478</v>
      </c>
      <c r="C200" s="335" t="s">
        <v>479</v>
      </c>
      <c r="D200" s="309" t="s">
        <v>290</v>
      </c>
      <c r="E200" s="336">
        <v>11.17</v>
      </c>
      <c r="F200" s="337">
        <v>1129.77</v>
      </c>
      <c r="G200" s="338">
        <f>ROUND(F200*E200,1)</f>
        <v>12619.5</v>
      </c>
      <c r="H200" s="339"/>
      <c r="I200" s="340">
        <f t="shared" si="12"/>
        <v>1129.77</v>
      </c>
      <c r="J200" s="341">
        <f t="shared" si="9"/>
        <v>0</v>
      </c>
      <c r="K200" s="342">
        <f t="shared" si="10"/>
        <v>11.17</v>
      </c>
      <c r="L200" s="343">
        <f t="shared" si="11"/>
        <v>1129.77</v>
      </c>
      <c r="M200" s="344">
        <f>ROUND(L200*K200,1)</f>
        <v>12619.5</v>
      </c>
    </row>
    <row r="201" spans="1:15" x14ac:dyDescent="0.2">
      <c r="A201" s="99"/>
      <c r="B201" s="100" t="s">
        <v>68</v>
      </c>
      <c r="C201" s="101" t="s">
        <v>198</v>
      </c>
      <c r="D201" s="99"/>
      <c r="E201" s="102"/>
      <c r="F201" s="103"/>
      <c r="G201" s="338"/>
      <c r="H201" s="339"/>
      <c r="I201" s="340"/>
      <c r="J201" s="341"/>
      <c r="K201" s="342"/>
      <c r="L201" s="343"/>
      <c r="M201" s="344"/>
      <c r="O201" s="348"/>
    </row>
    <row r="202" spans="1:15" x14ac:dyDescent="0.2">
      <c r="A202" s="99"/>
      <c r="B202" s="99"/>
      <c r="C202" s="101" t="s">
        <v>480</v>
      </c>
      <c r="D202" s="99"/>
      <c r="E202" s="102"/>
      <c r="F202" s="103"/>
      <c r="G202" s="338"/>
      <c r="H202" s="339"/>
      <c r="I202" s="340"/>
      <c r="J202" s="341"/>
      <c r="K202" s="342"/>
      <c r="L202" s="343"/>
      <c r="M202" s="344"/>
      <c r="O202" s="348"/>
    </row>
    <row r="203" spans="1:15" s="345" customFormat="1" ht="31.15" customHeight="1" x14ac:dyDescent="0.2">
      <c r="A203" s="333" t="s">
        <v>305</v>
      </c>
      <c r="B203" s="334" t="s">
        <v>481</v>
      </c>
      <c r="C203" s="335" t="s">
        <v>482</v>
      </c>
      <c r="D203" s="309" t="s">
        <v>114</v>
      </c>
      <c r="E203" s="336">
        <v>20</v>
      </c>
      <c r="F203" s="337">
        <v>441.91</v>
      </c>
      <c r="G203" s="338">
        <f>ROUND(F203*E203,1)</f>
        <v>8838.2000000000007</v>
      </c>
      <c r="H203" s="339"/>
      <c r="I203" s="340">
        <f t="shared" si="12"/>
        <v>441.91</v>
      </c>
      <c r="J203" s="341">
        <f t="shared" si="9"/>
        <v>0</v>
      </c>
      <c r="K203" s="342">
        <f t="shared" si="10"/>
        <v>20</v>
      </c>
      <c r="L203" s="343">
        <f t="shared" si="11"/>
        <v>441.91</v>
      </c>
      <c r="M203" s="344">
        <f>ROUND(L203*K203,1)</f>
        <v>8838.2000000000007</v>
      </c>
    </row>
    <row r="204" spans="1:15" s="345" customFormat="1" ht="31.15" customHeight="1" x14ac:dyDescent="0.2">
      <c r="A204" s="333" t="s">
        <v>153</v>
      </c>
      <c r="B204" s="334" t="s">
        <v>483</v>
      </c>
      <c r="C204" s="335" t="s">
        <v>484</v>
      </c>
      <c r="D204" s="309" t="s">
        <v>114</v>
      </c>
      <c r="E204" s="336">
        <v>20</v>
      </c>
      <c r="F204" s="337">
        <v>2964.5</v>
      </c>
      <c r="G204" s="338">
        <f>ROUND(F204*E204,1)</f>
        <v>59290</v>
      </c>
      <c r="H204" s="339"/>
      <c r="I204" s="340">
        <f t="shared" si="12"/>
        <v>2964.5</v>
      </c>
      <c r="J204" s="341">
        <f t="shared" si="9"/>
        <v>0</v>
      </c>
      <c r="K204" s="342">
        <f t="shared" si="10"/>
        <v>20</v>
      </c>
      <c r="L204" s="343">
        <f t="shared" si="11"/>
        <v>2964.5</v>
      </c>
      <c r="M204" s="344">
        <f>ROUND(L204*K204,1)</f>
        <v>59290</v>
      </c>
    </row>
    <row r="205" spans="1:15" s="345" customFormat="1" ht="31.15" customHeight="1" x14ac:dyDescent="0.2">
      <c r="A205" s="333" t="s">
        <v>156</v>
      </c>
      <c r="B205" s="334" t="s">
        <v>297</v>
      </c>
      <c r="C205" s="335" t="s">
        <v>298</v>
      </c>
      <c r="D205" s="309" t="s">
        <v>114</v>
      </c>
      <c r="E205" s="336">
        <v>311.27</v>
      </c>
      <c r="F205" s="337">
        <v>68</v>
      </c>
      <c r="G205" s="338">
        <f>ROUND(F205*E205,1)</f>
        <v>21166.400000000001</v>
      </c>
      <c r="H205" s="339">
        <v>-48.7</v>
      </c>
      <c r="I205" s="340">
        <f t="shared" si="12"/>
        <v>68</v>
      </c>
      <c r="J205" s="341">
        <f t="shared" si="9"/>
        <v>-3311.6000000000004</v>
      </c>
      <c r="K205" s="342">
        <f t="shared" si="10"/>
        <v>262.57</v>
      </c>
      <c r="L205" s="343">
        <f t="shared" si="11"/>
        <v>68</v>
      </c>
      <c r="M205" s="344">
        <f>ROUND(L205*K205,1)</f>
        <v>17854.8</v>
      </c>
    </row>
    <row r="206" spans="1:15" x14ac:dyDescent="0.2">
      <c r="A206" s="99"/>
      <c r="B206" s="100" t="s">
        <v>68</v>
      </c>
      <c r="C206" s="101" t="s">
        <v>437</v>
      </c>
      <c r="D206" s="99"/>
      <c r="E206" s="102"/>
      <c r="F206" s="103"/>
      <c r="G206" s="338"/>
      <c r="H206" s="339"/>
      <c r="I206" s="340"/>
      <c r="J206" s="341"/>
      <c r="K206" s="342"/>
      <c r="L206" s="343"/>
      <c r="M206" s="344"/>
      <c r="O206" s="348"/>
    </row>
    <row r="207" spans="1:15" s="345" customFormat="1" ht="31.15" customHeight="1" x14ac:dyDescent="0.2">
      <c r="A207" s="333" t="s">
        <v>485</v>
      </c>
      <c r="B207" s="334" t="s">
        <v>486</v>
      </c>
      <c r="C207" s="335" t="s">
        <v>487</v>
      </c>
      <c r="D207" s="309" t="s">
        <v>290</v>
      </c>
      <c r="E207" s="336">
        <v>18</v>
      </c>
      <c r="F207" s="337">
        <v>808.86</v>
      </c>
      <c r="G207" s="338">
        <f t="shared" ref="G207:G208" si="13">ROUND(F207*E207,1)</f>
        <v>14559.5</v>
      </c>
      <c r="H207" s="339">
        <v>-1</v>
      </c>
      <c r="I207" s="340">
        <f t="shared" si="12"/>
        <v>808.86</v>
      </c>
      <c r="J207" s="341">
        <f t="shared" si="9"/>
        <v>-808.86</v>
      </c>
      <c r="K207" s="342">
        <f t="shared" si="10"/>
        <v>17</v>
      </c>
      <c r="L207" s="343">
        <f t="shared" si="11"/>
        <v>808.86</v>
      </c>
      <c r="M207" s="344">
        <f>ROUND(L207*K207,1)</f>
        <v>13750.6</v>
      </c>
    </row>
    <row r="208" spans="1:15" s="345" customFormat="1" ht="31.15" customHeight="1" x14ac:dyDescent="0.2">
      <c r="A208" s="333" t="s">
        <v>488</v>
      </c>
      <c r="B208" s="334" t="s">
        <v>489</v>
      </c>
      <c r="C208" s="335" t="s">
        <v>490</v>
      </c>
      <c r="D208" s="309" t="s">
        <v>290</v>
      </c>
      <c r="E208" s="336">
        <v>3</v>
      </c>
      <c r="F208" s="337">
        <v>3481.39</v>
      </c>
      <c r="G208" s="338">
        <f t="shared" si="13"/>
        <v>10444.200000000001</v>
      </c>
      <c r="H208" s="339"/>
      <c r="I208" s="340">
        <f t="shared" si="12"/>
        <v>3481.39</v>
      </c>
      <c r="J208" s="341">
        <f t="shared" si="9"/>
        <v>0</v>
      </c>
      <c r="K208" s="342">
        <f t="shared" si="10"/>
        <v>3</v>
      </c>
      <c r="L208" s="343">
        <f t="shared" si="11"/>
        <v>3481.39</v>
      </c>
      <c r="M208" s="344">
        <f>ROUND(L208*K208,1)</f>
        <v>10444.200000000001</v>
      </c>
    </row>
    <row r="209" spans="1:15" x14ac:dyDescent="0.2">
      <c r="A209" s="99"/>
      <c r="B209" s="100" t="s">
        <v>68</v>
      </c>
      <c r="C209" s="101" t="s">
        <v>184</v>
      </c>
      <c r="D209" s="99"/>
      <c r="E209" s="102"/>
      <c r="F209" s="103"/>
      <c r="G209" s="338"/>
      <c r="H209" s="339"/>
      <c r="I209" s="340"/>
      <c r="J209" s="341"/>
      <c r="K209" s="342"/>
      <c r="L209" s="343"/>
      <c r="M209" s="344"/>
      <c r="O209" s="348"/>
    </row>
    <row r="210" spans="1:15" s="345" customFormat="1" ht="31.15" customHeight="1" x14ac:dyDescent="0.2">
      <c r="A210" s="333" t="s">
        <v>135</v>
      </c>
      <c r="B210" s="334" t="s">
        <v>491</v>
      </c>
      <c r="C210" s="335" t="s">
        <v>492</v>
      </c>
      <c r="D210" s="309" t="s">
        <v>290</v>
      </c>
      <c r="E210" s="336">
        <v>9</v>
      </c>
      <c r="F210" s="337">
        <v>1202.1099999999999</v>
      </c>
      <c r="G210" s="338">
        <f>ROUND(F210*E210,1)</f>
        <v>10819</v>
      </c>
      <c r="H210" s="339"/>
      <c r="I210" s="340">
        <f t="shared" si="12"/>
        <v>1202.1099999999999</v>
      </c>
      <c r="J210" s="341">
        <f t="shared" si="9"/>
        <v>0</v>
      </c>
      <c r="K210" s="342">
        <f t="shared" ref="K210:K257" si="14">+E210+H210</f>
        <v>9</v>
      </c>
      <c r="L210" s="343">
        <f t="shared" ref="L210:L257" si="15">+I210</f>
        <v>1202.1099999999999</v>
      </c>
      <c r="M210" s="344">
        <f>ROUND(L210*K210,1)</f>
        <v>10819</v>
      </c>
    </row>
    <row r="211" spans="1:15" x14ac:dyDescent="0.2">
      <c r="A211" s="99"/>
      <c r="B211" s="100" t="s">
        <v>68</v>
      </c>
      <c r="C211" s="101" t="s">
        <v>109</v>
      </c>
      <c r="D211" s="99"/>
      <c r="E211" s="102"/>
      <c r="F211" s="103"/>
      <c r="G211" s="338"/>
      <c r="H211" s="339"/>
      <c r="I211" s="340"/>
      <c r="J211" s="341"/>
      <c r="K211" s="342"/>
      <c r="L211" s="343"/>
      <c r="M211" s="344"/>
      <c r="O211" s="348"/>
    </row>
    <row r="212" spans="1:15" s="345" customFormat="1" ht="31.15" customHeight="1" x14ac:dyDescent="0.2">
      <c r="A212" s="333" t="s">
        <v>136</v>
      </c>
      <c r="B212" s="334" t="s">
        <v>493</v>
      </c>
      <c r="C212" s="335" t="s">
        <v>494</v>
      </c>
      <c r="D212" s="309" t="s">
        <v>290</v>
      </c>
      <c r="E212" s="336">
        <v>6</v>
      </c>
      <c r="F212" s="337">
        <v>775.98</v>
      </c>
      <c r="G212" s="338">
        <f>ROUND(F212*E212,1)</f>
        <v>4655.8999999999996</v>
      </c>
      <c r="H212" s="339">
        <v>-1</v>
      </c>
      <c r="I212" s="340">
        <f t="shared" si="12"/>
        <v>775.98</v>
      </c>
      <c r="J212" s="341">
        <f t="shared" ref="J212:J236" si="16">H212*I212</f>
        <v>-775.98</v>
      </c>
      <c r="K212" s="342">
        <f t="shared" si="14"/>
        <v>5</v>
      </c>
      <c r="L212" s="343">
        <f t="shared" si="15"/>
        <v>775.98</v>
      </c>
      <c r="M212" s="344">
        <f>ROUND(L212*K212,1)</f>
        <v>3879.9</v>
      </c>
    </row>
    <row r="213" spans="1:15" x14ac:dyDescent="0.2">
      <c r="A213" s="99"/>
      <c r="B213" s="100" t="s">
        <v>68</v>
      </c>
      <c r="C213" s="101" t="s">
        <v>100</v>
      </c>
      <c r="D213" s="99"/>
      <c r="E213" s="102"/>
      <c r="F213" s="103"/>
      <c r="G213" s="338"/>
      <c r="H213" s="339"/>
      <c r="I213" s="340"/>
      <c r="J213" s="341"/>
      <c r="K213" s="342"/>
      <c r="L213" s="343"/>
      <c r="M213" s="344"/>
      <c r="O213" s="348"/>
    </row>
    <row r="214" spans="1:15" s="345" customFormat="1" ht="31.15" customHeight="1" x14ac:dyDescent="0.2">
      <c r="A214" s="333" t="s">
        <v>137</v>
      </c>
      <c r="B214" s="334" t="s">
        <v>495</v>
      </c>
      <c r="C214" s="335" t="s">
        <v>496</v>
      </c>
      <c r="D214" s="309" t="s">
        <v>290</v>
      </c>
      <c r="E214" s="336">
        <v>27</v>
      </c>
      <c r="F214" s="337">
        <v>211.75</v>
      </c>
      <c r="G214" s="338">
        <f>ROUND(F214*E214,1)</f>
        <v>5717.3</v>
      </c>
      <c r="H214" s="339">
        <v>-4</v>
      </c>
      <c r="I214" s="340">
        <f t="shared" si="12"/>
        <v>211.75</v>
      </c>
      <c r="J214" s="341">
        <f t="shared" si="16"/>
        <v>-847</v>
      </c>
      <c r="K214" s="342">
        <f t="shared" si="14"/>
        <v>23</v>
      </c>
      <c r="L214" s="343">
        <f t="shared" si="15"/>
        <v>211.75</v>
      </c>
      <c r="M214" s="344">
        <f>ROUND(L214*K214,1)</f>
        <v>4870.3</v>
      </c>
    </row>
    <row r="215" spans="1:15" x14ac:dyDescent="0.2">
      <c r="A215" s="99"/>
      <c r="B215" s="100" t="s">
        <v>68</v>
      </c>
      <c r="C215" s="101" t="s">
        <v>100</v>
      </c>
      <c r="D215" s="99"/>
      <c r="E215" s="102"/>
      <c r="F215" s="103"/>
      <c r="G215" s="338"/>
      <c r="H215" s="339"/>
      <c r="I215" s="340"/>
      <c r="J215" s="341"/>
      <c r="K215" s="342"/>
      <c r="L215" s="343"/>
      <c r="M215" s="344"/>
      <c r="O215" s="348"/>
    </row>
    <row r="216" spans="1:15" x14ac:dyDescent="0.2">
      <c r="A216" s="99"/>
      <c r="B216" s="100" t="s">
        <v>68</v>
      </c>
      <c r="C216" s="101" t="s">
        <v>109</v>
      </c>
      <c r="D216" s="99"/>
      <c r="E216" s="102"/>
      <c r="F216" s="103"/>
      <c r="G216" s="338"/>
      <c r="H216" s="339"/>
      <c r="I216" s="340"/>
      <c r="J216" s="341"/>
      <c r="K216" s="342"/>
      <c r="L216" s="343"/>
      <c r="M216" s="344"/>
      <c r="O216" s="348"/>
    </row>
    <row r="217" spans="1:15" x14ac:dyDescent="0.2">
      <c r="A217" s="99"/>
      <c r="B217" s="100" t="s">
        <v>68</v>
      </c>
      <c r="C217" s="101" t="s">
        <v>432</v>
      </c>
      <c r="D217" s="99"/>
      <c r="E217" s="102"/>
      <c r="F217" s="103"/>
      <c r="G217" s="338"/>
      <c r="H217" s="339"/>
      <c r="I217" s="340"/>
      <c r="J217" s="341"/>
      <c r="K217" s="342"/>
      <c r="L217" s="343"/>
      <c r="M217" s="344"/>
      <c r="O217" s="348"/>
    </row>
    <row r="218" spans="1:15" s="345" customFormat="1" x14ac:dyDescent="0.2">
      <c r="A218" s="99"/>
      <c r="B218" s="100" t="s">
        <v>68</v>
      </c>
      <c r="C218" s="101" t="s">
        <v>93</v>
      </c>
      <c r="D218" s="99"/>
      <c r="E218" s="102"/>
      <c r="F218" s="103"/>
      <c r="G218" s="338"/>
      <c r="H218" s="339"/>
      <c r="I218" s="340"/>
      <c r="J218" s="341"/>
      <c r="K218" s="342"/>
      <c r="L218" s="343"/>
      <c r="M218" s="344"/>
      <c r="N218" s="344"/>
      <c r="O218" s="348"/>
    </row>
    <row r="219" spans="1:15" x14ac:dyDescent="0.2">
      <c r="A219" s="104"/>
      <c r="B219" s="105" t="s">
        <v>68</v>
      </c>
      <c r="C219" s="106" t="s">
        <v>71</v>
      </c>
      <c r="D219" s="104"/>
      <c r="E219" s="107"/>
      <c r="F219" s="108"/>
      <c r="G219" s="338"/>
      <c r="H219" s="339"/>
      <c r="I219" s="340"/>
      <c r="J219" s="341"/>
      <c r="K219" s="342"/>
      <c r="L219" s="343"/>
      <c r="M219" s="344"/>
      <c r="O219" s="348"/>
    </row>
    <row r="220" spans="1:15" s="345" customFormat="1" ht="31.15" customHeight="1" x14ac:dyDescent="0.2">
      <c r="A220" s="333" t="s">
        <v>138</v>
      </c>
      <c r="B220" s="334" t="s">
        <v>497</v>
      </c>
      <c r="C220" s="335" t="s">
        <v>498</v>
      </c>
      <c r="D220" s="309" t="s">
        <v>290</v>
      </c>
      <c r="E220" s="336">
        <v>12</v>
      </c>
      <c r="F220" s="337">
        <v>808.86</v>
      </c>
      <c r="G220" s="338">
        <f t="shared" ref="G220:G221" si="17">ROUND(F220*E220,1)</f>
        <v>9706.2999999999993</v>
      </c>
      <c r="H220" s="339">
        <v>-1</v>
      </c>
      <c r="I220" s="340">
        <f t="shared" si="12"/>
        <v>808.86</v>
      </c>
      <c r="J220" s="341">
        <f t="shared" si="16"/>
        <v>-808.86</v>
      </c>
      <c r="K220" s="342">
        <f t="shared" si="14"/>
        <v>11</v>
      </c>
      <c r="L220" s="343">
        <f t="shared" si="15"/>
        <v>808.86</v>
      </c>
      <c r="M220" s="344">
        <f>ROUND(L220*K220,1)</f>
        <v>8897.5</v>
      </c>
    </row>
    <row r="221" spans="1:15" s="345" customFormat="1" ht="31.15" customHeight="1" x14ac:dyDescent="0.2">
      <c r="A221" s="333" t="s">
        <v>499</v>
      </c>
      <c r="B221" s="334" t="s">
        <v>500</v>
      </c>
      <c r="C221" s="335" t="s">
        <v>501</v>
      </c>
      <c r="D221" s="309" t="s">
        <v>290</v>
      </c>
      <c r="E221" s="336">
        <v>12</v>
      </c>
      <c r="F221" s="337">
        <v>1530.92</v>
      </c>
      <c r="G221" s="338">
        <f t="shared" si="17"/>
        <v>18371</v>
      </c>
      <c r="H221" s="339">
        <v>-1</v>
      </c>
      <c r="I221" s="340">
        <f t="shared" si="12"/>
        <v>1530.92</v>
      </c>
      <c r="J221" s="341">
        <f t="shared" si="16"/>
        <v>-1530.92</v>
      </c>
      <c r="K221" s="342">
        <f t="shared" si="14"/>
        <v>11</v>
      </c>
      <c r="L221" s="343">
        <f t="shared" si="15"/>
        <v>1530.92</v>
      </c>
      <c r="M221" s="344">
        <f>ROUND(L221*K221,1)</f>
        <v>16840.099999999999</v>
      </c>
    </row>
    <row r="222" spans="1:15" x14ac:dyDescent="0.2">
      <c r="A222" s="99"/>
      <c r="B222" s="100" t="s">
        <v>68</v>
      </c>
      <c r="C222" s="101" t="s">
        <v>93</v>
      </c>
      <c r="D222" s="99"/>
      <c r="E222" s="102"/>
      <c r="F222" s="103"/>
      <c r="G222" s="338"/>
      <c r="H222" s="339"/>
      <c r="I222" s="340"/>
      <c r="J222" s="341"/>
      <c r="K222" s="342"/>
      <c r="L222" s="343"/>
      <c r="M222" s="344"/>
      <c r="O222" s="348"/>
    </row>
    <row r="223" spans="1:15" s="345" customFormat="1" ht="31.15" customHeight="1" x14ac:dyDescent="0.2">
      <c r="A223" s="333" t="s">
        <v>111</v>
      </c>
      <c r="B223" s="334" t="s">
        <v>502</v>
      </c>
      <c r="C223" s="335" t="s">
        <v>503</v>
      </c>
      <c r="D223" s="309" t="s">
        <v>290</v>
      </c>
      <c r="E223" s="336">
        <v>12</v>
      </c>
      <c r="F223" s="337">
        <v>3234.12</v>
      </c>
      <c r="G223" s="338">
        <f t="shared" ref="G223:G224" si="18">ROUND(F223*E223,1)</f>
        <v>38809.4</v>
      </c>
      <c r="H223" s="339">
        <v>-1</v>
      </c>
      <c r="I223" s="340">
        <f t="shared" si="12"/>
        <v>3234.12</v>
      </c>
      <c r="J223" s="341">
        <f t="shared" si="16"/>
        <v>-3234.12</v>
      </c>
      <c r="K223" s="342">
        <f t="shared" si="14"/>
        <v>11</v>
      </c>
      <c r="L223" s="343">
        <f t="shared" si="15"/>
        <v>3234.12</v>
      </c>
      <c r="M223" s="344">
        <f>ROUND(L223*K223,1)</f>
        <v>35575.300000000003</v>
      </c>
    </row>
    <row r="224" spans="1:15" s="345" customFormat="1" ht="31.15" customHeight="1" x14ac:dyDescent="0.2">
      <c r="A224" s="333" t="s">
        <v>115</v>
      </c>
      <c r="B224" s="334" t="s">
        <v>504</v>
      </c>
      <c r="C224" s="335" t="s">
        <v>505</v>
      </c>
      <c r="D224" s="309" t="s">
        <v>290</v>
      </c>
      <c r="E224" s="336">
        <v>12</v>
      </c>
      <c r="F224" s="337">
        <v>14588.41</v>
      </c>
      <c r="G224" s="338">
        <f t="shared" si="18"/>
        <v>175060.9</v>
      </c>
      <c r="H224" s="339">
        <v>-1</v>
      </c>
      <c r="I224" s="340">
        <f t="shared" si="12"/>
        <v>14588.41</v>
      </c>
      <c r="J224" s="341">
        <f t="shared" si="16"/>
        <v>-14588.41</v>
      </c>
      <c r="K224" s="342">
        <f t="shared" si="14"/>
        <v>11</v>
      </c>
      <c r="L224" s="343">
        <f t="shared" si="15"/>
        <v>14588.41</v>
      </c>
      <c r="M224" s="344">
        <f>ROUND(L224*K224,1)</f>
        <v>160472.5</v>
      </c>
    </row>
    <row r="225" spans="1:15" x14ac:dyDescent="0.2">
      <c r="A225" s="99"/>
      <c r="B225" s="100" t="s">
        <v>68</v>
      </c>
      <c r="C225" s="101" t="s">
        <v>93</v>
      </c>
      <c r="D225" s="99"/>
      <c r="E225" s="102"/>
      <c r="F225" s="103"/>
      <c r="G225" s="338"/>
      <c r="H225" s="339"/>
      <c r="I225" s="340"/>
      <c r="J225" s="341"/>
      <c r="K225" s="342"/>
      <c r="L225" s="343"/>
      <c r="M225" s="344"/>
      <c r="O225" s="348"/>
    </row>
    <row r="226" spans="1:15" s="345" customFormat="1" ht="31.15" customHeight="1" x14ac:dyDescent="0.2">
      <c r="A226" s="333" t="s">
        <v>506</v>
      </c>
      <c r="B226" s="334" t="s">
        <v>507</v>
      </c>
      <c r="C226" s="335" t="s">
        <v>508</v>
      </c>
      <c r="D226" s="309" t="s">
        <v>290</v>
      </c>
      <c r="E226" s="336">
        <v>12</v>
      </c>
      <c r="F226" s="337">
        <v>485.32</v>
      </c>
      <c r="G226" s="338">
        <f t="shared" ref="G226:G227" si="19">ROUND(F226*E226,1)</f>
        <v>5823.8</v>
      </c>
      <c r="H226" s="339">
        <v>-1</v>
      </c>
      <c r="I226" s="340">
        <f t="shared" si="12"/>
        <v>485.32</v>
      </c>
      <c r="J226" s="341">
        <f t="shared" si="16"/>
        <v>-485.32</v>
      </c>
      <c r="K226" s="342">
        <f t="shared" si="14"/>
        <v>11</v>
      </c>
      <c r="L226" s="343">
        <f t="shared" si="15"/>
        <v>485.32</v>
      </c>
      <c r="M226" s="344">
        <f>ROUND(L226*K226,1)</f>
        <v>5338.5</v>
      </c>
    </row>
    <row r="227" spans="1:15" s="345" customFormat="1" ht="31.15" customHeight="1" x14ac:dyDescent="0.2">
      <c r="A227" s="333" t="s">
        <v>509</v>
      </c>
      <c r="B227" s="334" t="s">
        <v>510</v>
      </c>
      <c r="C227" s="335" t="s">
        <v>511</v>
      </c>
      <c r="D227" s="309" t="s">
        <v>290</v>
      </c>
      <c r="E227" s="336">
        <v>12</v>
      </c>
      <c r="F227" s="337">
        <v>6510.34</v>
      </c>
      <c r="G227" s="338">
        <f t="shared" si="19"/>
        <v>78124.100000000006</v>
      </c>
      <c r="H227" s="339">
        <v>-1</v>
      </c>
      <c r="I227" s="340">
        <f t="shared" si="12"/>
        <v>6510.34</v>
      </c>
      <c r="J227" s="341">
        <f t="shared" si="16"/>
        <v>-6510.34</v>
      </c>
      <c r="K227" s="342">
        <f t="shared" si="14"/>
        <v>11</v>
      </c>
      <c r="L227" s="343">
        <f t="shared" si="15"/>
        <v>6510.34</v>
      </c>
      <c r="M227" s="344">
        <f>ROUND(L227*K227,1)</f>
        <v>71613.7</v>
      </c>
    </row>
    <row r="228" spans="1:15" x14ac:dyDescent="0.2">
      <c r="A228" s="99"/>
      <c r="B228" s="100" t="s">
        <v>68</v>
      </c>
      <c r="C228" s="101" t="s">
        <v>93</v>
      </c>
      <c r="D228" s="99"/>
      <c r="E228" s="102"/>
      <c r="F228" s="103"/>
      <c r="G228" s="338"/>
      <c r="H228" s="339"/>
      <c r="I228" s="340"/>
      <c r="J228" s="341"/>
      <c r="K228" s="342"/>
      <c r="L228" s="343"/>
      <c r="M228" s="344"/>
      <c r="O228" s="348"/>
    </row>
    <row r="229" spans="1:15" s="345" customFormat="1" ht="31.15" customHeight="1" x14ac:dyDescent="0.2">
      <c r="A229" s="333" t="s">
        <v>118</v>
      </c>
      <c r="B229" s="334" t="s">
        <v>299</v>
      </c>
      <c r="C229" s="335" t="s">
        <v>300</v>
      </c>
      <c r="D229" s="309" t="s">
        <v>114</v>
      </c>
      <c r="E229" s="336">
        <v>311.27</v>
      </c>
      <c r="F229" s="337">
        <v>9.2100000000000009</v>
      </c>
      <c r="G229" s="338">
        <f>ROUND(F229*E229,1)</f>
        <v>2866.8</v>
      </c>
      <c r="H229" s="339">
        <v>-48.7</v>
      </c>
      <c r="I229" s="340">
        <f t="shared" si="12"/>
        <v>9.2100000000000009</v>
      </c>
      <c r="J229" s="341">
        <f t="shared" si="16"/>
        <v>-448.52700000000004</v>
      </c>
      <c r="K229" s="342">
        <f t="shared" si="14"/>
        <v>262.57</v>
      </c>
      <c r="L229" s="343">
        <f t="shared" si="15"/>
        <v>9.2100000000000009</v>
      </c>
      <c r="M229" s="344">
        <f>ROUND(L229*K229,1)</f>
        <v>2418.3000000000002</v>
      </c>
    </row>
    <row r="230" spans="1:15" x14ac:dyDescent="0.2">
      <c r="A230" s="99"/>
      <c r="B230" s="100" t="s">
        <v>68</v>
      </c>
      <c r="C230" s="101" t="s">
        <v>437</v>
      </c>
      <c r="D230" s="99"/>
      <c r="E230" s="102"/>
      <c r="F230" s="103"/>
      <c r="G230" s="338"/>
      <c r="H230" s="339"/>
      <c r="I230" s="340"/>
      <c r="J230" s="341"/>
      <c r="K230" s="342"/>
      <c r="L230" s="343"/>
      <c r="M230" s="344"/>
      <c r="O230" s="348"/>
    </row>
    <row r="231" spans="1:15" s="345" customFormat="1" ht="31.15" customHeight="1" x14ac:dyDescent="0.2">
      <c r="A231" s="333" t="s">
        <v>119</v>
      </c>
      <c r="B231" s="334" t="s">
        <v>512</v>
      </c>
      <c r="C231" s="335" t="s">
        <v>513</v>
      </c>
      <c r="D231" s="309" t="s">
        <v>290</v>
      </c>
      <c r="E231" s="336">
        <v>11</v>
      </c>
      <c r="F231" s="337">
        <v>252.72000000000003</v>
      </c>
      <c r="G231" s="338">
        <f t="shared" ref="G231:G232" si="20">ROUND(F231*E231,1)</f>
        <v>2779.9</v>
      </c>
      <c r="H231" s="339"/>
      <c r="I231" s="340">
        <f t="shared" si="12"/>
        <v>252.72000000000003</v>
      </c>
      <c r="J231" s="341">
        <f t="shared" si="16"/>
        <v>0</v>
      </c>
      <c r="K231" s="342">
        <f t="shared" si="14"/>
        <v>11</v>
      </c>
      <c r="L231" s="343">
        <f t="shared" si="15"/>
        <v>252.72000000000003</v>
      </c>
      <c r="M231" s="344">
        <f>ROUND(L231*K231,1)</f>
        <v>2779.9</v>
      </c>
    </row>
    <row r="232" spans="1:15" s="345" customFormat="1" ht="31.15" customHeight="1" x14ac:dyDescent="0.2">
      <c r="A232" s="333" t="s">
        <v>177</v>
      </c>
      <c r="B232" s="334" t="s">
        <v>514</v>
      </c>
      <c r="C232" s="335" t="s">
        <v>515</v>
      </c>
      <c r="D232" s="309" t="s">
        <v>290</v>
      </c>
      <c r="E232" s="336">
        <v>2</v>
      </c>
      <c r="F232" s="337">
        <v>4239.4800000000005</v>
      </c>
      <c r="G232" s="338">
        <f t="shared" si="20"/>
        <v>8479</v>
      </c>
      <c r="H232" s="339"/>
      <c r="I232" s="340">
        <f t="shared" si="12"/>
        <v>4239.4800000000005</v>
      </c>
      <c r="J232" s="341">
        <f t="shared" si="16"/>
        <v>0</v>
      </c>
      <c r="K232" s="342">
        <f t="shared" si="14"/>
        <v>2</v>
      </c>
      <c r="L232" s="343">
        <f t="shared" si="15"/>
        <v>4239.4800000000005</v>
      </c>
      <c r="M232" s="344">
        <f>ROUND(L232*K232,1)</f>
        <v>8479</v>
      </c>
    </row>
    <row r="233" spans="1:15" s="325" customFormat="1" ht="24" customHeight="1" x14ac:dyDescent="0.2">
      <c r="A233" s="326" t="s">
        <v>109</v>
      </c>
      <c r="B233" s="327" t="s">
        <v>110</v>
      </c>
      <c r="C233" s="328"/>
      <c r="D233" s="328"/>
      <c r="E233" s="329"/>
      <c r="F233" s="330"/>
      <c r="G233" s="330"/>
      <c r="H233" s="330"/>
      <c r="I233" s="330"/>
      <c r="J233" s="330"/>
      <c r="K233" s="330"/>
      <c r="L233" s="330"/>
      <c r="M233" s="330"/>
    </row>
    <row r="234" spans="1:15" s="345" customFormat="1" ht="31.15" customHeight="1" x14ac:dyDescent="0.2">
      <c r="A234" s="333" t="s">
        <v>516</v>
      </c>
      <c r="B234" s="334" t="s">
        <v>112</v>
      </c>
      <c r="C234" s="335" t="s">
        <v>113</v>
      </c>
      <c r="D234" s="309" t="s">
        <v>114</v>
      </c>
      <c r="E234" s="336">
        <v>634.9</v>
      </c>
      <c r="F234" s="337">
        <v>87.65</v>
      </c>
      <c r="G234" s="338">
        <f>ROUND(F234*E234,1)</f>
        <v>55649</v>
      </c>
      <c r="H234" s="339">
        <f>-48.13*2</f>
        <v>-96.26</v>
      </c>
      <c r="I234" s="340">
        <f t="shared" si="12"/>
        <v>87.65</v>
      </c>
      <c r="J234" s="341">
        <f t="shared" si="16"/>
        <v>-8437.1890000000003</v>
      </c>
      <c r="K234" s="342">
        <f t="shared" si="14"/>
        <v>538.64</v>
      </c>
      <c r="L234" s="343">
        <f t="shared" si="15"/>
        <v>87.65</v>
      </c>
      <c r="M234" s="344">
        <f>ROUND(L234*K234,1)</f>
        <v>47211.8</v>
      </c>
    </row>
    <row r="235" spans="1:15" x14ac:dyDescent="0.2">
      <c r="A235" s="99"/>
      <c r="B235" s="349" t="s">
        <v>68</v>
      </c>
      <c r="C235" s="350" t="s">
        <v>517</v>
      </c>
      <c r="D235" s="351"/>
      <c r="E235" s="349">
        <v>634.9</v>
      </c>
      <c r="F235" s="352"/>
      <c r="G235" s="338"/>
      <c r="H235" s="339"/>
      <c r="I235" s="340"/>
      <c r="J235" s="341"/>
      <c r="K235" s="342"/>
      <c r="L235" s="343"/>
      <c r="M235" s="344"/>
      <c r="O235" s="348"/>
    </row>
    <row r="236" spans="1:15" s="345" customFormat="1" ht="31.15" customHeight="1" x14ac:dyDescent="0.2">
      <c r="A236" s="333" t="s">
        <v>518</v>
      </c>
      <c r="B236" s="334" t="s">
        <v>116</v>
      </c>
      <c r="C236" s="335" t="s">
        <v>117</v>
      </c>
      <c r="D236" s="309" t="s">
        <v>114</v>
      </c>
      <c r="E236" s="336">
        <v>634.9</v>
      </c>
      <c r="F236" s="337">
        <v>72.34</v>
      </c>
      <c r="G236" s="338">
        <f>ROUND(F236*E236,1)</f>
        <v>45928.7</v>
      </c>
      <c r="H236" s="339">
        <f>H234</f>
        <v>-96.26</v>
      </c>
      <c r="I236" s="340">
        <f t="shared" si="12"/>
        <v>72.34</v>
      </c>
      <c r="J236" s="341">
        <f t="shared" si="16"/>
        <v>-6963.4484000000011</v>
      </c>
      <c r="K236" s="342">
        <f t="shared" si="14"/>
        <v>538.64</v>
      </c>
      <c r="L236" s="343">
        <f t="shared" si="15"/>
        <v>72.34</v>
      </c>
      <c r="M236" s="344">
        <f>ROUND(L236*K236,1)</f>
        <v>38965.199999999997</v>
      </c>
    </row>
    <row r="237" spans="1:15" x14ac:dyDescent="0.2">
      <c r="A237" s="99"/>
      <c r="B237" s="100" t="s">
        <v>68</v>
      </c>
      <c r="C237" s="101" t="s">
        <v>517</v>
      </c>
      <c r="D237" s="99"/>
      <c r="E237" s="102">
        <v>634.9</v>
      </c>
      <c r="F237" s="339"/>
      <c r="G237" s="338"/>
      <c r="H237" s="339"/>
      <c r="I237" s="340"/>
      <c r="J237" s="341"/>
      <c r="K237" s="342"/>
      <c r="L237" s="343"/>
      <c r="M237" s="344"/>
      <c r="O237" s="348"/>
    </row>
    <row r="238" spans="1:15" x14ac:dyDescent="0.2">
      <c r="A238" s="99"/>
      <c r="B238" s="100"/>
      <c r="C238" s="101"/>
      <c r="D238" s="99"/>
      <c r="E238" s="102"/>
      <c r="F238" s="339"/>
      <c r="G238" s="338"/>
      <c r="H238" s="339"/>
      <c r="I238" s="340"/>
      <c r="J238" s="341"/>
      <c r="K238" s="342"/>
      <c r="L238" s="343"/>
      <c r="M238" s="344"/>
      <c r="O238" s="348"/>
    </row>
    <row r="239" spans="1:15" s="325" customFormat="1" ht="24" customHeight="1" x14ac:dyDescent="0.2">
      <c r="A239" s="326" t="s">
        <v>80</v>
      </c>
      <c r="B239" s="327" t="s">
        <v>304</v>
      </c>
      <c r="C239" s="328"/>
      <c r="D239" s="328"/>
      <c r="E239" s="329"/>
      <c r="F239" s="330"/>
      <c r="G239" s="330"/>
      <c r="H239" s="330"/>
      <c r="I239" s="330"/>
      <c r="J239" s="330"/>
      <c r="K239" s="330"/>
      <c r="L239" s="330"/>
      <c r="M239" s="330"/>
    </row>
    <row r="240" spans="1:15" s="345" customFormat="1" ht="31.15" customHeight="1" x14ac:dyDescent="0.2">
      <c r="A240" s="333" t="s">
        <v>82</v>
      </c>
      <c r="B240" s="334" t="s">
        <v>83</v>
      </c>
      <c r="C240" s="335" t="s">
        <v>84</v>
      </c>
      <c r="D240" s="309" t="s">
        <v>85</v>
      </c>
      <c r="E240" s="336">
        <v>330.82</v>
      </c>
      <c r="F240" s="337">
        <v>183.7</v>
      </c>
      <c r="G240" s="338">
        <f>ROUND(F240*E240,1)</f>
        <v>60771.6</v>
      </c>
      <c r="H240" s="339">
        <v>-47.34</v>
      </c>
      <c r="I240" s="340">
        <f t="shared" si="12"/>
        <v>183.7</v>
      </c>
      <c r="J240" s="341">
        <f>H240*I240</f>
        <v>-8696.3580000000002</v>
      </c>
      <c r="K240" s="342">
        <f t="shared" si="14"/>
        <v>283.48</v>
      </c>
      <c r="L240" s="343">
        <f t="shared" si="15"/>
        <v>183.7</v>
      </c>
      <c r="M240" s="344">
        <f>ROUND(L240*K240,1)</f>
        <v>52075.3</v>
      </c>
    </row>
    <row r="241" spans="1:15" s="345" customFormat="1" ht="31.15" customHeight="1" x14ac:dyDescent="0.2">
      <c r="A241" s="333" t="s">
        <v>86</v>
      </c>
      <c r="B241" s="334" t="s">
        <v>87</v>
      </c>
      <c r="C241" s="335" t="s">
        <v>88</v>
      </c>
      <c r="D241" s="309" t="s">
        <v>85</v>
      </c>
      <c r="E241" s="336">
        <v>175.86</v>
      </c>
      <c r="F241" s="337">
        <v>257.77999999999997</v>
      </c>
      <c r="G241" s="338">
        <f>ROUND(F241*E241,1)</f>
        <v>45333.2</v>
      </c>
      <c r="H241" s="339">
        <v>-25.35</v>
      </c>
      <c r="I241" s="340">
        <f t="shared" si="12"/>
        <v>257.77999999999997</v>
      </c>
      <c r="J241" s="341">
        <f>H241*I241</f>
        <v>-6534.723</v>
      </c>
      <c r="K241" s="342">
        <f t="shared" si="14"/>
        <v>150.51000000000002</v>
      </c>
      <c r="L241" s="343">
        <f t="shared" si="15"/>
        <v>257.77999999999997</v>
      </c>
      <c r="M241" s="344">
        <f>ROUND(L241*K241,1)</f>
        <v>38798.5</v>
      </c>
    </row>
    <row r="242" spans="1:15" x14ac:dyDescent="0.2">
      <c r="A242" s="99"/>
      <c r="B242" s="100" t="s">
        <v>68</v>
      </c>
      <c r="C242" s="101" t="s">
        <v>89</v>
      </c>
      <c r="D242" s="99"/>
      <c r="E242" s="102"/>
      <c r="F242" s="103"/>
      <c r="G242" s="338"/>
      <c r="H242" s="356">
        <f>-48.13*(1.1+0.5+0.5)*0.128+(2-1.1)*3.3*0.128</f>
        <v>-12.557184000000001</v>
      </c>
      <c r="I242" s="340"/>
      <c r="J242" s="341"/>
      <c r="K242" s="342"/>
      <c r="L242" s="343"/>
      <c r="M242" s="344"/>
      <c r="O242" s="348"/>
    </row>
    <row r="243" spans="1:15" x14ac:dyDescent="0.2">
      <c r="A243" s="99"/>
      <c r="B243" s="100" t="s">
        <v>68</v>
      </c>
      <c r="C243" s="101" t="s">
        <v>90</v>
      </c>
      <c r="D243" s="99"/>
      <c r="E243" s="102"/>
      <c r="F243" s="103"/>
      <c r="G243" s="338"/>
      <c r="H243" s="356"/>
      <c r="I243" s="340"/>
      <c r="J243" s="341"/>
      <c r="K243" s="342"/>
      <c r="L243" s="343"/>
      <c r="M243" s="344"/>
      <c r="O243" s="348"/>
    </row>
    <row r="244" spans="1:15" x14ac:dyDescent="0.2">
      <c r="A244" s="99"/>
      <c r="B244" s="100" t="s">
        <v>68</v>
      </c>
      <c r="C244" s="101" t="s">
        <v>91</v>
      </c>
      <c r="D244" s="99"/>
      <c r="E244" s="102"/>
      <c r="F244" s="103"/>
      <c r="G244" s="338"/>
      <c r="H244" s="356">
        <f>-48.13*1.1*0.256+(2-1.1)*3.3*0.256</f>
        <v>-12.793088000000001</v>
      </c>
      <c r="I244" s="340"/>
      <c r="J244" s="341"/>
      <c r="K244" s="342"/>
      <c r="L244" s="343"/>
      <c r="M244" s="344"/>
      <c r="O244" s="348"/>
    </row>
    <row r="245" spans="1:15" x14ac:dyDescent="0.2">
      <c r="A245" s="99"/>
      <c r="B245" s="100" t="s">
        <v>68</v>
      </c>
      <c r="C245" s="101" t="s">
        <v>92</v>
      </c>
      <c r="D245" s="99"/>
      <c r="E245" s="102"/>
      <c r="F245" s="103"/>
      <c r="G245" s="338"/>
      <c r="H245" s="339"/>
      <c r="I245" s="340"/>
      <c r="J245" s="341"/>
      <c r="K245" s="342"/>
      <c r="L245" s="343"/>
      <c r="M245" s="344"/>
      <c r="O245" s="348"/>
    </row>
    <row r="246" spans="1:15" x14ac:dyDescent="0.2">
      <c r="A246" s="104"/>
      <c r="B246" s="100" t="s">
        <v>68</v>
      </c>
      <c r="C246" s="101" t="s">
        <v>71</v>
      </c>
      <c r="D246" s="99"/>
      <c r="E246" s="102"/>
      <c r="F246" s="103"/>
      <c r="G246" s="338"/>
      <c r="H246" s="339"/>
      <c r="I246" s="340"/>
      <c r="J246" s="341"/>
      <c r="K246" s="342"/>
      <c r="L246" s="343"/>
      <c r="M246" s="344"/>
      <c r="O246" s="348"/>
    </row>
    <row r="247" spans="1:15" s="345" customFormat="1" ht="31.15" customHeight="1" x14ac:dyDescent="0.2">
      <c r="A247" s="333" t="s">
        <v>519</v>
      </c>
      <c r="B247" s="334" t="s">
        <v>168</v>
      </c>
      <c r="C247" s="335" t="s">
        <v>169</v>
      </c>
      <c r="D247" s="309" t="s">
        <v>85</v>
      </c>
      <c r="E247" s="336">
        <v>154.94999999999999</v>
      </c>
      <c r="F247" s="337">
        <v>154.66999999999999</v>
      </c>
      <c r="G247" s="338">
        <f>ROUND(F247*E247,1)</f>
        <v>23966.1</v>
      </c>
      <c r="H247" s="339">
        <v>-21.99</v>
      </c>
      <c r="I247" s="340">
        <f t="shared" ref="I247:I257" si="21">F247</f>
        <v>154.66999999999999</v>
      </c>
      <c r="J247" s="341">
        <f>H247*I247</f>
        <v>-3401.1932999999995</v>
      </c>
      <c r="K247" s="342">
        <f t="shared" si="14"/>
        <v>132.95999999999998</v>
      </c>
      <c r="L247" s="343">
        <f t="shared" si="15"/>
        <v>154.66999999999999</v>
      </c>
      <c r="M247" s="344">
        <f>ROUND(L247*K247,1)</f>
        <v>20564.900000000001</v>
      </c>
    </row>
    <row r="248" spans="1:15" x14ac:dyDescent="0.2">
      <c r="A248" s="99"/>
      <c r="B248" s="100" t="s">
        <v>68</v>
      </c>
      <c r="C248" s="101" t="s">
        <v>520</v>
      </c>
      <c r="D248" s="99"/>
      <c r="E248" s="102"/>
      <c r="F248" s="103"/>
      <c r="G248" s="338"/>
      <c r="H248" s="339"/>
      <c r="I248" s="340"/>
      <c r="J248" s="341"/>
      <c r="K248" s="342"/>
      <c r="L248" s="343"/>
      <c r="M248" s="344"/>
      <c r="O248" s="348"/>
    </row>
    <row r="249" spans="1:15" x14ac:dyDescent="0.2">
      <c r="A249" s="99"/>
      <c r="B249" s="100" t="s">
        <v>68</v>
      </c>
      <c r="C249" s="101" t="s">
        <v>521</v>
      </c>
      <c r="D249" s="99"/>
      <c r="E249" s="102"/>
      <c r="F249" s="103"/>
      <c r="G249" s="338"/>
      <c r="H249" s="339"/>
      <c r="I249" s="340"/>
      <c r="J249" s="341"/>
      <c r="K249" s="342"/>
      <c r="L249" s="343"/>
      <c r="M249" s="344"/>
      <c r="O249" s="348"/>
    </row>
    <row r="250" spans="1:15" x14ac:dyDescent="0.2">
      <c r="A250" s="99"/>
      <c r="B250" s="100" t="s">
        <v>68</v>
      </c>
      <c r="C250" s="101" t="s">
        <v>522</v>
      </c>
      <c r="D250" s="99"/>
      <c r="E250" s="102"/>
      <c r="F250" s="103"/>
      <c r="G250" s="338"/>
      <c r="H250" s="339"/>
      <c r="I250" s="340"/>
      <c r="J250" s="341"/>
      <c r="K250" s="342"/>
      <c r="L250" s="343"/>
      <c r="M250" s="344"/>
      <c r="O250" s="348"/>
    </row>
    <row r="251" spans="1:15" x14ac:dyDescent="0.2">
      <c r="A251" s="99"/>
      <c r="B251" s="100" t="s">
        <v>68</v>
      </c>
      <c r="C251" s="101" t="s">
        <v>523</v>
      </c>
      <c r="D251" s="99"/>
      <c r="E251" s="102"/>
      <c r="F251" s="103"/>
      <c r="G251" s="338"/>
      <c r="H251" s="339"/>
      <c r="I251" s="340"/>
      <c r="J251" s="341"/>
      <c r="K251" s="342"/>
      <c r="L251" s="343"/>
      <c r="M251" s="344"/>
      <c r="O251" s="348"/>
    </row>
    <row r="252" spans="1:15" x14ac:dyDescent="0.2">
      <c r="A252" s="99"/>
      <c r="B252" s="100" t="s">
        <v>68</v>
      </c>
      <c r="C252" s="101" t="s">
        <v>524</v>
      </c>
      <c r="D252" s="99"/>
      <c r="E252" s="102"/>
      <c r="F252" s="103"/>
      <c r="G252" s="338"/>
      <c r="H252" s="339"/>
      <c r="I252" s="340"/>
      <c r="J252" s="341"/>
      <c r="K252" s="342"/>
      <c r="L252" s="343"/>
      <c r="M252" s="344"/>
      <c r="O252" s="348"/>
    </row>
    <row r="253" spans="1:15" x14ac:dyDescent="0.2">
      <c r="A253" s="99"/>
      <c r="B253" s="100" t="s">
        <v>68</v>
      </c>
      <c r="C253" s="101" t="s">
        <v>525</v>
      </c>
      <c r="D253" s="99"/>
      <c r="E253" s="102"/>
      <c r="F253" s="103"/>
      <c r="G253" s="338"/>
      <c r="H253" s="339"/>
      <c r="I253" s="340"/>
      <c r="J253" s="341"/>
      <c r="K253" s="342"/>
      <c r="L253" s="343"/>
      <c r="M253" s="344"/>
      <c r="O253" s="348"/>
    </row>
    <row r="254" spans="1:15" x14ac:dyDescent="0.2">
      <c r="A254" s="99"/>
      <c r="B254" s="100" t="s">
        <v>68</v>
      </c>
      <c r="C254" s="101" t="s">
        <v>526</v>
      </c>
      <c r="D254" s="99"/>
      <c r="E254" s="102"/>
      <c r="F254" s="103"/>
      <c r="G254" s="338"/>
      <c r="H254" s="339"/>
      <c r="I254" s="340"/>
      <c r="J254" s="341"/>
      <c r="K254" s="342"/>
      <c r="L254" s="343"/>
      <c r="M254" s="344"/>
      <c r="O254" s="348"/>
    </row>
    <row r="255" spans="1:15" x14ac:dyDescent="0.2">
      <c r="A255" s="99"/>
      <c r="B255" s="100" t="s">
        <v>68</v>
      </c>
      <c r="C255" s="101" t="s">
        <v>71</v>
      </c>
      <c r="D255" s="99"/>
      <c r="E255" s="102"/>
      <c r="F255" s="103"/>
      <c r="G255" s="338"/>
      <c r="H255" s="339"/>
      <c r="I255" s="340"/>
      <c r="J255" s="341"/>
      <c r="K255" s="342"/>
      <c r="L255" s="343"/>
      <c r="M255" s="344"/>
      <c r="O255" s="348"/>
    </row>
    <row r="256" spans="1:15" s="325" customFormat="1" ht="24" customHeight="1" x14ac:dyDescent="0.2">
      <c r="A256" s="326" t="s">
        <v>303</v>
      </c>
      <c r="B256" s="327" t="s">
        <v>304</v>
      </c>
      <c r="C256" s="328"/>
      <c r="D256" s="328"/>
      <c r="E256" s="329"/>
      <c r="F256" s="330"/>
      <c r="G256" s="330"/>
      <c r="H256" s="330"/>
      <c r="I256" s="330"/>
      <c r="J256" s="330"/>
      <c r="K256" s="330"/>
      <c r="L256" s="330"/>
      <c r="M256" s="330"/>
    </row>
    <row r="257" spans="1:15" s="345" customFormat="1" ht="31.15" customHeight="1" x14ac:dyDescent="0.2">
      <c r="A257" s="333" t="s">
        <v>527</v>
      </c>
      <c r="B257" s="334" t="s">
        <v>306</v>
      </c>
      <c r="C257" s="335" t="s">
        <v>307</v>
      </c>
      <c r="D257" s="309" t="s">
        <v>85</v>
      </c>
      <c r="E257" s="336">
        <v>885.56</v>
      </c>
      <c r="F257" s="337">
        <v>114.42</v>
      </c>
      <c r="G257" s="338">
        <f>ROUND(F257*E257,1)</f>
        <v>101325.8</v>
      </c>
      <c r="H257" s="339">
        <v>-136.68</v>
      </c>
      <c r="I257" s="340">
        <f t="shared" si="21"/>
        <v>114.42</v>
      </c>
      <c r="J257" s="341">
        <f>H257*I257</f>
        <v>-15638.9256</v>
      </c>
      <c r="K257" s="342">
        <f t="shared" si="14"/>
        <v>748.87999999999988</v>
      </c>
      <c r="L257" s="343">
        <f t="shared" si="15"/>
        <v>114.42</v>
      </c>
      <c r="M257" s="344">
        <f>ROUND(L257*K257,1)</f>
        <v>85686.8</v>
      </c>
    </row>
    <row r="258" spans="1:15" x14ac:dyDescent="0.2">
      <c r="O258" s="348"/>
    </row>
    <row r="261" spans="1:15" ht="12.75" thickBot="1" x14ac:dyDescent="0.25"/>
    <row r="262" spans="1:15" ht="16.5" thickBot="1" x14ac:dyDescent="0.25">
      <c r="A262" s="358"/>
      <c r="B262" s="359"/>
      <c r="C262" s="360" t="s">
        <v>528</v>
      </c>
      <c r="D262" s="361"/>
      <c r="E262" s="362"/>
      <c r="F262" s="363"/>
      <c r="G262" s="364">
        <f>SUBTOTAL(9,G17:G261)</f>
        <v>3708175.5</v>
      </c>
      <c r="H262" s="365"/>
      <c r="I262" s="365"/>
      <c r="J262" s="366">
        <f>SUBTOTAL(9,J17:J261)</f>
        <v>-392800.06734691374</v>
      </c>
      <c r="K262" s="365"/>
      <c r="L262" s="365"/>
      <c r="M262" s="367">
        <f>G262+J262</f>
        <v>3315375.4326530863</v>
      </c>
      <c r="O262" s="368"/>
    </row>
    <row r="263" spans="1:15" ht="15.75" x14ac:dyDescent="0.2">
      <c r="A263" s="369"/>
      <c r="B263" s="370"/>
      <c r="C263" s="371"/>
      <c r="D263" s="372"/>
      <c r="E263" s="373"/>
      <c r="F263" s="374"/>
      <c r="G263" s="375"/>
      <c r="H263" s="376"/>
      <c r="I263" s="377"/>
      <c r="J263" s="378"/>
      <c r="K263" s="379"/>
      <c r="L263" s="379"/>
      <c r="M263" s="380"/>
    </row>
    <row r="264" spans="1:15" ht="15.75" x14ac:dyDescent="0.2">
      <c r="A264" s="381"/>
      <c r="B264" s="31" t="s">
        <v>18</v>
      </c>
      <c r="C264" s="35" t="s">
        <v>529</v>
      </c>
      <c r="D264" s="381"/>
      <c r="E264" s="382"/>
      <c r="F264" s="381"/>
      <c r="G264" s="35" t="s">
        <v>20</v>
      </c>
      <c r="H264" s="376"/>
      <c r="I264" s="383"/>
      <c r="J264" s="378"/>
      <c r="K264" s="36" t="s">
        <v>22</v>
      </c>
      <c r="L264" s="380"/>
      <c r="M264" s="380"/>
    </row>
    <row r="265" spans="1:15" ht="15.75" x14ac:dyDescent="0.2">
      <c r="A265" s="381"/>
      <c r="B265" s="31"/>
      <c r="C265" s="35"/>
      <c r="D265" s="381"/>
      <c r="E265" s="382"/>
      <c r="F265" s="381"/>
      <c r="G265" s="384"/>
      <c r="H265" s="376"/>
      <c r="I265" s="383"/>
      <c r="J265" s="378"/>
      <c r="K265" s="36"/>
      <c r="L265" s="380"/>
      <c r="M265" s="380"/>
    </row>
    <row r="266" spans="1:15" ht="15.75" x14ac:dyDescent="0.2">
      <c r="A266" s="381"/>
      <c r="B266" s="31" t="s">
        <v>19</v>
      </c>
      <c r="C266" s="31" t="s">
        <v>530</v>
      </c>
      <c r="D266" s="381"/>
      <c r="E266" s="382"/>
      <c r="F266" s="381"/>
      <c r="G266" s="31" t="s">
        <v>19</v>
      </c>
      <c r="H266" s="376"/>
      <c r="I266" s="383"/>
      <c r="J266" s="378"/>
      <c r="K266" s="31" t="s">
        <v>19</v>
      </c>
      <c r="L266" s="380"/>
      <c r="M266" s="380"/>
    </row>
  </sheetData>
  <mergeCells count="5">
    <mergeCell ref="A12:D12"/>
    <mergeCell ref="A14:C14"/>
    <mergeCell ref="E14:G14"/>
    <mergeCell ref="H14:J14"/>
    <mergeCell ref="K14:M14"/>
  </mergeCells>
  <conditionalFormatting sqref="W1:AC1 A1:U1">
    <cfRule type="cellIs" dxfId="9" priority="2" stopIfTrue="1" operator="lessThan">
      <formula>0</formula>
    </cfRule>
  </conditionalFormatting>
  <conditionalFormatting sqref="D3">
    <cfRule type="cellIs" dxfId="8" priority="1" stopIfTrue="1" operator="lessThan">
      <formula>0</formula>
    </cfRule>
  </conditionalFormatting>
  <pageMargins left="0.7" right="0.7" top="0.78740157499999996" bottom="0.78740157499999996" header="0.3" footer="0.3"/>
  <pageSetup paperSize="9" scale="56" orientation="landscape" r:id="rId1"/>
  <rowBreaks count="2" manualBreakCount="2">
    <brk id="189" max="12" man="1"/>
    <brk id="22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51154-9454-4E61-BC5F-65FBAA8B923E}">
  <dimension ref="B1:AD86"/>
  <sheetViews>
    <sheetView view="pageBreakPreview" zoomScale="60" zoomScaleNormal="100" workbookViewId="0">
      <selection activeCell="A84" sqref="A84:K87"/>
    </sheetView>
  </sheetViews>
  <sheetFormatPr defaultRowHeight="15" x14ac:dyDescent="0.25"/>
  <cols>
    <col min="1" max="1" width="5.28515625" customWidth="1"/>
    <col min="5" max="5" width="43.28515625" customWidth="1"/>
    <col min="7" max="8" width="9.7109375" bestFit="1" customWidth="1"/>
    <col min="9" max="9" width="16.85546875" bestFit="1" customWidth="1"/>
    <col min="11" max="11" width="16" bestFit="1" customWidth="1"/>
  </cols>
  <sheetData>
    <row r="1" spans="2:30" s="42" customFormat="1" ht="12.75" x14ac:dyDescent="0.2">
      <c r="B1" s="38"/>
      <c r="C1" s="38"/>
      <c r="D1" s="38"/>
      <c r="E1" s="38"/>
      <c r="F1" s="39"/>
      <c r="G1" s="38"/>
      <c r="H1" s="40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 spans="2:30" s="42" customFormat="1" ht="15.75" x14ac:dyDescent="0.25">
      <c r="B2" s="4"/>
      <c r="C2" s="10"/>
      <c r="E2" s="2" t="s">
        <v>0</v>
      </c>
      <c r="F2" s="3" t="s">
        <v>1</v>
      </c>
      <c r="G2" s="5"/>
      <c r="H2" s="6"/>
      <c r="I2" s="45"/>
      <c r="J2" s="45"/>
      <c r="K2" s="45"/>
      <c r="L2" s="46"/>
      <c r="M2" s="46"/>
      <c r="N2" s="46"/>
      <c r="O2" s="45"/>
      <c r="P2" s="45"/>
      <c r="Q2" s="46"/>
      <c r="R2" s="45"/>
      <c r="S2" s="46"/>
      <c r="T2" s="45"/>
      <c r="U2" s="46"/>
      <c r="V2" s="45"/>
      <c r="W2" s="46"/>
      <c r="X2" s="45"/>
      <c r="Y2" s="46"/>
      <c r="Z2" s="45"/>
      <c r="AA2" s="49"/>
      <c r="AB2" s="50"/>
      <c r="AC2" s="51"/>
      <c r="AD2" s="52"/>
    </row>
    <row r="3" spans="2:30" s="42" customFormat="1" ht="15.75" x14ac:dyDescent="0.25">
      <c r="B3" s="4"/>
      <c r="C3" s="10"/>
      <c r="E3" s="2" t="s">
        <v>2</v>
      </c>
      <c r="F3" s="3" t="s">
        <v>547</v>
      </c>
      <c r="G3" s="5"/>
      <c r="H3" s="6"/>
      <c r="I3" s="45"/>
      <c r="J3" s="45"/>
      <c r="K3" s="45"/>
      <c r="L3" s="46"/>
      <c r="M3" s="46"/>
      <c r="N3" s="46"/>
      <c r="O3" s="45"/>
      <c r="P3" s="45"/>
      <c r="Q3" s="46"/>
      <c r="R3" s="45"/>
      <c r="S3" s="46"/>
      <c r="T3" s="45"/>
      <c r="U3" s="46"/>
      <c r="V3" s="45"/>
      <c r="W3" s="46"/>
      <c r="X3" s="45"/>
      <c r="Y3" s="46"/>
      <c r="Z3" s="45"/>
      <c r="AA3" s="49"/>
      <c r="AB3" s="50"/>
      <c r="AC3" s="51"/>
      <c r="AD3" s="52"/>
    </row>
    <row r="4" spans="2:30" s="42" customFormat="1" ht="15.75" x14ac:dyDescent="0.25">
      <c r="B4" s="4"/>
      <c r="C4" s="10"/>
      <c r="E4" s="7" t="s">
        <v>3</v>
      </c>
      <c r="F4" s="8" t="s">
        <v>4</v>
      </c>
      <c r="G4" s="5"/>
      <c r="H4" s="6"/>
      <c r="I4" s="45"/>
      <c r="J4" s="45"/>
      <c r="K4" s="45"/>
      <c r="L4" s="46"/>
      <c r="M4" s="46"/>
      <c r="N4" s="46"/>
      <c r="O4" s="45"/>
      <c r="P4" s="45"/>
      <c r="Q4" s="46"/>
      <c r="R4" s="45"/>
      <c r="S4" s="46"/>
      <c r="T4" s="45"/>
      <c r="U4" s="46"/>
      <c r="V4" s="45"/>
      <c r="W4" s="46"/>
      <c r="X4" s="45"/>
      <c r="Y4" s="46"/>
      <c r="Z4" s="45"/>
      <c r="AA4" s="49"/>
      <c r="AB4" s="50"/>
      <c r="AC4" s="51"/>
      <c r="AD4" s="52"/>
    </row>
    <row r="5" spans="2:30" s="42" customFormat="1" ht="15.75" x14ac:dyDescent="0.25">
      <c r="B5" s="10"/>
      <c r="C5" s="10"/>
      <c r="E5" s="7" t="s">
        <v>5</v>
      </c>
      <c r="F5" s="9" t="s">
        <v>6</v>
      </c>
      <c r="G5" s="11"/>
      <c r="H5" s="6"/>
      <c r="I5" s="285"/>
      <c r="J5" s="285"/>
      <c r="K5" s="285"/>
      <c r="L5" s="286"/>
      <c r="M5" s="286"/>
      <c r="N5" s="286"/>
      <c r="O5" s="285"/>
      <c r="P5" s="285"/>
      <c r="Q5" s="286"/>
      <c r="R5" s="285"/>
      <c r="S5" s="286"/>
      <c r="T5" s="285"/>
      <c r="U5" s="286"/>
      <c r="V5" s="285"/>
      <c r="W5" s="286"/>
      <c r="X5" s="285"/>
      <c r="Y5" s="286"/>
      <c r="Z5" s="285"/>
      <c r="AA5" s="287"/>
      <c r="AB5" s="288"/>
      <c r="AC5" s="289"/>
      <c r="AD5" s="290"/>
    </row>
    <row r="6" spans="2:30" s="42" customFormat="1" ht="15.75" x14ac:dyDescent="0.25">
      <c r="B6" s="10"/>
      <c r="C6" s="10"/>
      <c r="E6" s="2" t="s">
        <v>7</v>
      </c>
      <c r="F6" s="12" t="s">
        <v>8</v>
      </c>
      <c r="G6" s="11"/>
      <c r="H6" s="6"/>
      <c r="I6" s="285"/>
      <c r="J6" s="285"/>
      <c r="K6" s="285"/>
      <c r="L6" s="286"/>
      <c r="M6" s="286"/>
      <c r="N6" s="286"/>
      <c r="O6" s="285"/>
      <c r="P6" s="285"/>
      <c r="Q6" s="286"/>
      <c r="R6" s="285"/>
      <c r="S6" s="286"/>
      <c r="T6" s="285"/>
      <c r="U6" s="286"/>
      <c r="V6" s="285"/>
      <c r="W6" s="286"/>
      <c r="X6" s="285"/>
      <c r="Y6" s="286"/>
      <c r="Z6" s="285"/>
      <c r="AA6" s="287"/>
      <c r="AB6" s="288"/>
      <c r="AC6" s="289"/>
      <c r="AD6" s="290"/>
    </row>
    <row r="7" spans="2:30" s="42" customFormat="1" ht="15.75" x14ac:dyDescent="0.25">
      <c r="B7" s="10"/>
      <c r="C7" s="10"/>
      <c r="E7" s="2" t="s">
        <v>9</v>
      </c>
      <c r="F7" s="12" t="s">
        <v>10</v>
      </c>
      <c r="G7" s="11"/>
      <c r="H7" s="6"/>
      <c r="I7" s="285"/>
      <c r="J7" s="285"/>
      <c r="K7" s="285"/>
      <c r="L7" s="286"/>
      <c r="M7" s="286"/>
      <c r="N7" s="286"/>
      <c r="O7" s="285"/>
      <c r="P7" s="285"/>
      <c r="Q7" s="286"/>
      <c r="R7" s="285"/>
      <c r="S7" s="286"/>
      <c r="T7" s="285"/>
      <c r="U7" s="286"/>
      <c r="V7" s="285"/>
      <c r="W7" s="286"/>
      <c r="X7" s="285"/>
      <c r="Y7" s="286"/>
      <c r="Z7" s="285"/>
      <c r="AA7" s="287"/>
      <c r="AB7" s="288"/>
      <c r="AC7" s="289"/>
      <c r="AD7" s="290"/>
    </row>
    <row r="8" spans="2:30" s="42" customFormat="1" ht="15.75" x14ac:dyDescent="0.25">
      <c r="B8" s="10"/>
      <c r="C8" s="10"/>
      <c r="D8" s="2"/>
      <c r="E8" s="291"/>
      <c r="F8" s="284"/>
      <c r="G8" s="11"/>
      <c r="H8" s="6"/>
      <c r="I8" s="285"/>
      <c r="J8" s="285"/>
      <c r="K8" s="285"/>
      <c r="L8" s="286"/>
      <c r="M8" s="286"/>
      <c r="N8" s="286"/>
      <c r="O8" s="285"/>
      <c r="P8" s="285"/>
      <c r="Q8" s="286"/>
      <c r="R8" s="285"/>
      <c r="S8" s="286"/>
      <c r="T8" s="285"/>
      <c r="U8" s="286"/>
      <c r="V8" s="285"/>
      <c r="W8" s="286"/>
      <c r="X8" s="285"/>
      <c r="Y8" s="286"/>
      <c r="Z8" s="285"/>
      <c r="AA8" s="287"/>
      <c r="AB8" s="288"/>
      <c r="AC8" s="289"/>
      <c r="AD8" s="290"/>
    </row>
    <row r="9" spans="2:30" s="42" customFormat="1" ht="12" x14ac:dyDescent="0.2">
      <c r="C9" s="292"/>
      <c r="D9" s="293"/>
      <c r="E9" s="294"/>
      <c r="F9" s="295"/>
      <c r="G9" s="296"/>
      <c r="H9" s="297"/>
      <c r="I9" s="298"/>
      <c r="J9" s="299"/>
      <c r="K9" s="300"/>
      <c r="L9" s="301"/>
      <c r="M9" s="301"/>
      <c r="N9" s="302"/>
    </row>
    <row r="10" spans="2:30" s="42" customFormat="1" ht="18" x14ac:dyDescent="0.25">
      <c r="C10" s="282" t="s">
        <v>531</v>
      </c>
      <c r="D10" s="303"/>
      <c r="F10" s="304"/>
      <c r="G10" s="305"/>
      <c r="H10" s="306"/>
      <c r="I10" s="307"/>
      <c r="J10" s="308"/>
      <c r="K10" s="300"/>
      <c r="L10" s="301"/>
      <c r="M10" s="301"/>
      <c r="N10" s="302"/>
    </row>
    <row r="11" spans="2:30" ht="15.75" x14ac:dyDescent="0.25">
      <c r="B11" s="69" t="s">
        <v>122</v>
      </c>
      <c r="C11" s="19"/>
      <c r="D11" s="19"/>
      <c r="E11" s="19"/>
      <c r="F11" s="19"/>
      <c r="G11" s="19"/>
      <c r="H11" s="64"/>
      <c r="I11" s="71">
        <f>+SUBTOTAL(9,I12:I80)</f>
        <v>8748429.9000000004</v>
      </c>
      <c r="J11" s="461"/>
      <c r="K11" s="461"/>
    </row>
    <row r="12" spans="2:30" ht="15.75" x14ac:dyDescent="0.25">
      <c r="B12" s="72"/>
      <c r="C12" s="88" t="s">
        <v>48</v>
      </c>
      <c r="D12" s="74" t="s">
        <v>49</v>
      </c>
      <c r="E12" s="74" t="s">
        <v>50</v>
      </c>
      <c r="F12" s="72"/>
      <c r="G12" s="72"/>
      <c r="H12" s="75"/>
      <c r="I12" s="76">
        <f>+SUBTOTAL(9,I13:I80)</f>
        <v>8748429.9000000004</v>
      </c>
      <c r="J12" s="461"/>
      <c r="K12" s="461"/>
    </row>
    <row r="13" spans="2:30" x14ac:dyDescent="0.25">
      <c r="B13" s="72"/>
      <c r="C13" s="88" t="s">
        <v>48</v>
      </c>
      <c r="D13" s="77" t="s">
        <v>51</v>
      </c>
      <c r="E13" s="77" t="s">
        <v>52</v>
      </c>
      <c r="F13" s="72"/>
      <c r="G13" s="72"/>
      <c r="H13" s="75"/>
      <c r="I13" s="78">
        <f>+SUBTOTAL(9,I14:I44)</f>
        <v>4741912.4000000004</v>
      </c>
      <c r="J13" s="462"/>
      <c r="K13" s="462"/>
    </row>
    <row r="14" spans="2:30" ht="30" x14ac:dyDescent="0.25">
      <c r="B14" s="37" t="s">
        <v>51</v>
      </c>
      <c r="C14" s="37" t="s">
        <v>63</v>
      </c>
      <c r="D14" s="385" t="s">
        <v>182</v>
      </c>
      <c r="E14" s="386" t="s">
        <v>183</v>
      </c>
      <c r="F14" s="387" t="s">
        <v>68</v>
      </c>
      <c r="G14" s="278">
        <v>0</v>
      </c>
      <c r="H14" s="388"/>
      <c r="I14" s="278">
        <v>0</v>
      </c>
      <c r="J14" s="405" t="str">
        <f>IF(ISBLANK(H14),"",SUM(#REF!+#REF!+#REF!+#REF!+#REF!+#REF!+#REF!+#REF!+#REF!+#REF!+#REF!+#REF!+#REF!+#REF!,#REF!,#REF!,#REF!,#REF!,#REF!,#REF!,#REF!,#REF!,#REF!))</f>
        <v/>
      </c>
      <c r="K14" s="406" t="str">
        <f t="shared" ref="K14:K77" si="0">IF(ISBLANK(H14),"",J14*H14)</f>
        <v/>
      </c>
    </row>
    <row r="15" spans="2:30" ht="30" x14ac:dyDescent="0.25">
      <c r="B15" s="37" t="s">
        <v>172</v>
      </c>
      <c r="C15" s="37" t="s">
        <v>63</v>
      </c>
      <c r="D15" s="385" t="s">
        <v>141</v>
      </c>
      <c r="E15" s="386" t="s">
        <v>142</v>
      </c>
      <c r="F15" s="387" t="s">
        <v>66</v>
      </c>
      <c r="G15" s="278">
        <v>182.05</v>
      </c>
      <c r="H15" s="388">
        <v>31.57</v>
      </c>
      <c r="I15" s="278">
        <v>5747.3</v>
      </c>
      <c r="J15" s="405"/>
      <c r="K15" s="406">
        <f t="shared" si="0"/>
        <v>0</v>
      </c>
    </row>
    <row r="16" spans="2:30" ht="30" x14ac:dyDescent="0.25">
      <c r="B16" s="37" t="s">
        <v>184</v>
      </c>
      <c r="C16" s="37" t="s">
        <v>63</v>
      </c>
      <c r="D16" s="385" t="s">
        <v>185</v>
      </c>
      <c r="E16" s="386" t="s">
        <v>186</v>
      </c>
      <c r="F16" s="387" t="s">
        <v>66</v>
      </c>
      <c r="G16" s="278">
        <v>182.05</v>
      </c>
      <c r="H16" s="388">
        <v>23.67</v>
      </c>
      <c r="I16" s="278">
        <v>4309.1000000000004</v>
      </c>
      <c r="J16" s="405"/>
      <c r="K16" s="406">
        <f t="shared" si="0"/>
        <v>0</v>
      </c>
    </row>
    <row r="17" spans="2:11" ht="30" x14ac:dyDescent="0.25">
      <c r="B17" s="37" t="s">
        <v>62</v>
      </c>
      <c r="C17" s="37" t="s">
        <v>63</v>
      </c>
      <c r="D17" s="385" t="s">
        <v>144</v>
      </c>
      <c r="E17" s="386" t="s">
        <v>145</v>
      </c>
      <c r="F17" s="387" t="s">
        <v>66</v>
      </c>
      <c r="G17" s="278">
        <v>191.95</v>
      </c>
      <c r="H17" s="388">
        <v>26.3</v>
      </c>
      <c r="I17" s="278">
        <v>5048.3</v>
      </c>
      <c r="J17" s="405"/>
      <c r="K17" s="406">
        <f t="shared" si="0"/>
        <v>0</v>
      </c>
    </row>
    <row r="18" spans="2:11" ht="30" x14ac:dyDescent="0.25">
      <c r="B18" s="37" t="s">
        <v>72</v>
      </c>
      <c r="C18" s="37" t="s">
        <v>63</v>
      </c>
      <c r="D18" s="385" t="s">
        <v>187</v>
      </c>
      <c r="E18" s="386" t="s">
        <v>188</v>
      </c>
      <c r="F18" s="387" t="s">
        <v>66</v>
      </c>
      <c r="G18" s="278">
        <v>935.55</v>
      </c>
      <c r="H18" s="388">
        <v>40.770000000000003</v>
      </c>
      <c r="I18" s="278">
        <v>38142.400000000001</v>
      </c>
      <c r="J18" s="405"/>
      <c r="K18" s="406">
        <f t="shared" si="0"/>
        <v>0</v>
      </c>
    </row>
    <row r="19" spans="2:11" ht="30" x14ac:dyDescent="0.25">
      <c r="B19" s="37" t="s">
        <v>100</v>
      </c>
      <c r="C19" s="37" t="s">
        <v>63</v>
      </c>
      <c r="D19" s="385" t="s">
        <v>189</v>
      </c>
      <c r="E19" s="386" t="s">
        <v>190</v>
      </c>
      <c r="F19" s="387" t="s">
        <v>66</v>
      </c>
      <c r="G19" s="278">
        <v>160.05000000000001</v>
      </c>
      <c r="H19" s="388">
        <v>53.92</v>
      </c>
      <c r="I19" s="278">
        <v>8629.9</v>
      </c>
      <c r="J19" s="405">
        <v>194</v>
      </c>
      <c r="K19" s="406">
        <f t="shared" si="0"/>
        <v>10460.48</v>
      </c>
    </row>
    <row r="20" spans="2:11" ht="30" x14ac:dyDescent="0.25">
      <c r="B20" s="37" t="s">
        <v>143</v>
      </c>
      <c r="C20" s="37" t="s">
        <v>63</v>
      </c>
      <c r="D20" s="385" t="s">
        <v>191</v>
      </c>
      <c r="E20" s="386" t="s">
        <v>192</v>
      </c>
      <c r="F20" s="387" t="s">
        <v>66</v>
      </c>
      <c r="G20" s="278">
        <v>9.9</v>
      </c>
      <c r="H20" s="388">
        <v>336.7</v>
      </c>
      <c r="I20" s="278">
        <v>3333.3</v>
      </c>
      <c r="J20" s="405"/>
      <c r="K20" s="406">
        <f t="shared" si="0"/>
        <v>0</v>
      </c>
    </row>
    <row r="21" spans="2:11" ht="30" x14ac:dyDescent="0.25">
      <c r="B21" s="37" t="s">
        <v>123</v>
      </c>
      <c r="C21" s="37" t="s">
        <v>63</v>
      </c>
      <c r="D21" s="385" t="s">
        <v>64</v>
      </c>
      <c r="E21" s="386" t="s">
        <v>65</v>
      </c>
      <c r="F21" s="387" t="s">
        <v>66</v>
      </c>
      <c r="G21" s="278">
        <v>1499.4</v>
      </c>
      <c r="H21" s="388">
        <v>55.24</v>
      </c>
      <c r="I21" s="278">
        <v>82826.899999999994</v>
      </c>
      <c r="J21" s="405"/>
      <c r="K21" s="406">
        <f t="shared" si="0"/>
        <v>0</v>
      </c>
    </row>
    <row r="22" spans="2:11" ht="30" x14ac:dyDescent="0.25">
      <c r="B22" s="37" t="s">
        <v>109</v>
      </c>
      <c r="C22" s="37" t="s">
        <v>63</v>
      </c>
      <c r="D22" s="385" t="s">
        <v>193</v>
      </c>
      <c r="E22" s="386" t="s">
        <v>194</v>
      </c>
      <c r="F22" s="387" t="s">
        <v>66</v>
      </c>
      <c r="G22" s="278">
        <v>785.4</v>
      </c>
      <c r="H22" s="388">
        <v>151.25</v>
      </c>
      <c r="I22" s="278">
        <v>118791.8</v>
      </c>
      <c r="J22" s="405"/>
      <c r="K22" s="406">
        <f t="shared" si="0"/>
        <v>0</v>
      </c>
    </row>
    <row r="23" spans="2:11" ht="30" x14ac:dyDescent="0.25">
      <c r="B23" s="37" t="s">
        <v>195</v>
      </c>
      <c r="C23" s="37" t="s">
        <v>63</v>
      </c>
      <c r="D23" s="385" t="s">
        <v>196</v>
      </c>
      <c r="E23" s="386" t="s">
        <v>197</v>
      </c>
      <c r="F23" s="387" t="s">
        <v>114</v>
      </c>
      <c r="G23" s="278">
        <v>95.7</v>
      </c>
      <c r="H23" s="388">
        <v>170.98</v>
      </c>
      <c r="I23" s="278">
        <v>16362.8</v>
      </c>
      <c r="J23" s="405">
        <v>20</v>
      </c>
      <c r="K23" s="406">
        <f t="shared" si="0"/>
        <v>3419.6</v>
      </c>
    </row>
    <row r="24" spans="2:11" ht="30" x14ac:dyDescent="0.25">
      <c r="B24" s="37" t="s">
        <v>198</v>
      </c>
      <c r="C24" s="37" t="s">
        <v>63</v>
      </c>
      <c r="D24" s="385" t="s">
        <v>199</v>
      </c>
      <c r="E24" s="386" t="s">
        <v>200</v>
      </c>
      <c r="F24" s="387" t="s">
        <v>114</v>
      </c>
      <c r="G24" s="278">
        <v>143.55000000000001</v>
      </c>
      <c r="H24" s="388">
        <v>147.30000000000001</v>
      </c>
      <c r="I24" s="278">
        <v>21144.9</v>
      </c>
      <c r="J24" s="405">
        <v>25</v>
      </c>
      <c r="K24" s="406">
        <f t="shared" si="0"/>
        <v>3682.5000000000005</v>
      </c>
    </row>
    <row r="25" spans="2:11" ht="30" x14ac:dyDescent="0.25">
      <c r="B25" s="37" t="s">
        <v>93</v>
      </c>
      <c r="C25" s="37" t="s">
        <v>63</v>
      </c>
      <c r="D25" s="385" t="s">
        <v>201</v>
      </c>
      <c r="E25" s="386" t="s">
        <v>202</v>
      </c>
      <c r="F25" s="387" t="s">
        <v>96</v>
      </c>
      <c r="G25" s="278">
        <v>70.180000000000007</v>
      </c>
      <c r="H25" s="388">
        <v>38.14</v>
      </c>
      <c r="I25" s="278">
        <v>2676.7</v>
      </c>
      <c r="J25" s="405">
        <v>12</v>
      </c>
      <c r="K25" s="406">
        <f t="shared" si="0"/>
        <v>457.68</v>
      </c>
    </row>
    <row r="26" spans="2:11" ht="30" x14ac:dyDescent="0.25">
      <c r="B26" s="37" t="s">
        <v>203</v>
      </c>
      <c r="C26" s="37" t="s">
        <v>63</v>
      </c>
      <c r="D26" s="385" t="s">
        <v>204</v>
      </c>
      <c r="E26" s="386" t="s">
        <v>205</v>
      </c>
      <c r="F26" s="387" t="s">
        <v>66</v>
      </c>
      <c r="G26" s="278">
        <v>113.5</v>
      </c>
      <c r="H26" s="388">
        <v>38.14</v>
      </c>
      <c r="I26" s="278">
        <v>4328.8999999999996</v>
      </c>
      <c r="J26" s="405"/>
      <c r="K26" s="406">
        <f t="shared" si="0"/>
        <v>0</v>
      </c>
    </row>
    <row r="27" spans="2:11" ht="30" x14ac:dyDescent="0.25">
      <c r="B27" s="37" t="s">
        <v>206</v>
      </c>
      <c r="C27" s="37" t="s">
        <v>63</v>
      </c>
      <c r="D27" s="385" t="s">
        <v>207</v>
      </c>
      <c r="E27" s="386" t="s">
        <v>208</v>
      </c>
      <c r="F27" s="387" t="s">
        <v>96</v>
      </c>
      <c r="G27" s="278">
        <v>957.46</v>
      </c>
      <c r="H27" s="388">
        <v>257.77999999999997</v>
      </c>
      <c r="I27" s="278">
        <v>246814</v>
      </c>
      <c r="J27" s="405">
        <v>169.63565192604005</v>
      </c>
      <c r="K27" s="406">
        <f t="shared" si="0"/>
        <v>43728.678353494601</v>
      </c>
    </row>
    <row r="28" spans="2:11" ht="30" x14ac:dyDescent="0.25">
      <c r="B28" s="37" t="s">
        <v>209</v>
      </c>
      <c r="C28" s="37" t="s">
        <v>63</v>
      </c>
      <c r="D28" s="385" t="s">
        <v>210</v>
      </c>
      <c r="E28" s="386" t="s">
        <v>211</v>
      </c>
      <c r="F28" s="387" t="s">
        <v>96</v>
      </c>
      <c r="G28" s="278">
        <v>287.24</v>
      </c>
      <c r="H28" s="388">
        <v>13.15</v>
      </c>
      <c r="I28" s="278">
        <v>3777.2</v>
      </c>
      <c r="J28" s="405">
        <v>50.891049922958402</v>
      </c>
      <c r="K28" s="406">
        <f t="shared" si="0"/>
        <v>669.217306486903</v>
      </c>
    </row>
    <row r="29" spans="2:11" ht="30" x14ac:dyDescent="0.25">
      <c r="B29" s="37" t="s">
        <v>212</v>
      </c>
      <c r="C29" s="37" t="s">
        <v>63</v>
      </c>
      <c r="D29" s="385" t="s">
        <v>213</v>
      </c>
      <c r="E29" s="386" t="s">
        <v>214</v>
      </c>
      <c r="F29" s="387" t="s">
        <v>96</v>
      </c>
      <c r="G29" s="278">
        <v>841.01</v>
      </c>
      <c r="H29" s="388">
        <v>315.64999999999998</v>
      </c>
      <c r="I29" s="278">
        <v>265464.8</v>
      </c>
      <c r="J29" s="405">
        <v>149.00390577812018</v>
      </c>
      <c r="K29" s="406">
        <f t="shared" si="0"/>
        <v>47033.082858863636</v>
      </c>
    </row>
    <row r="30" spans="2:11" ht="30" x14ac:dyDescent="0.25">
      <c r="B30" s="37" t="s">
        <v>215</v>
      </c>
      <c r="C30" s="37" t="s">
        <v>63</v>
      </c>
      <c r="D30" s="385" t="s">
        <v>216</v>
      </c>
      <c r="E30" s="386" t="s">
        <v>217</v>
      </c>
      <c r="F30" s="387" t="s">
        <v>96</v>
      </c>
      <c r="G30" s="278">
        <v>252.3</v>
      </c>
      <c r="H30" s="388">
        <v>15.78</v>
      </c>
      <c r="I30" s="278">
        <v>3981.3</v>
      </c>
      <c r="J30" s="405">
        <v>44.70064021571649</v>
      </c>
      <c r="K30" s="406">
        <f t="shared" si="0"/>
        <v>705.37610260400618</v>
      </c>
    </row>
    <row r="31" spans="2:11" ht="45" x14ac:dyDescent="0.25">
      <c r="B31" s="37" t="s">
        <v>218</v>
      </c>
      <c r="C31" s="37" t="s">
        <v>63</v>
      </c>
      <c r="D31" s="385" t="s">
        <v>219</v>
      </c>
      <c r="E31" s="386" t="s">
        <v>220</v>
      </c>
      <c r="F31" s="387" t="s">
        <v>96</v>
      </c>
      <c r="G31" s="278">
        <v>207.96</v>
      </c>
      <c r="H31" s="388">
        <v>837.79</v>
      </c>
      <c r="I31" s="278">
        <v>174226.8</v>
      </c>
      <c r="J31" s="405">
        <v>36.844808320493065</v>
      </c>
      <c r="K31" s="406">
        <f t="shared" si="0"/>
        <v>30868.211962825884</v>
      </c>
    </row>
    <row r="32" spans="2:11" ht="45" x14ac:dyDescent="0.25">
      <c r="B32" s="37" t="s">
        <v>173</v>
      </c>
      <c r="C32" s="37" t="s">
        <v>63</v>
      </c>
      <c r="D32" s="385" t="s">
        <v>221</v>
      </c>
      <c r="E32" s="386" t="s">
        <v>222</v>
      </c>
      <c r="F32" s="387" t="s">
        <v>96</v>
      </c>
      <c r="G32" s="278">
        <v>643.66999999999996</v>
      </c>
      <c r="H32" s="388">
        <v>1116.6199999999999</v>
      </c>
      <c r="I32" s="278">
        <v>718734.8</v>
      </c>
      <c r="J32" s="405">
        <v>114.04067018489984</v>
      </c>
      <c r="K32" s="406">
        <f t="shared" si="0"/>
        <v>127340.09314186285</v>
      </c>
    </row>
    <row r="33" spans="2:11" ht="30" x14ac:dyDescent="0.25">
      <c r="B33" s="37" t="s">
        <v>223</v>
      </c>
      <c r="C33" s="37" t="s">
        <v>63</v>
      </c>
      <c r="D33" s="385" t="s">
        <v>224</v>
      </c>
      <c r="E33" s="386" t="s">
        <v>225</v>
      </c>
      <c r="F33" s="387" t="s">
        <v>66</v>
      </c>
      <c r="G33" s="278">
        <v>5724.21</v>
      </c>
      <c r="H33" s="388">
        <v>99.96</v>
      </c>
      <c r="I33" s="278">
        <v>572192</v>
      </c>
      <c r="J33" s="405">
        <v>607.4</v>
      </c>
      <c r="K33" s="406">
        <f t="shared" si="0"/>
        <v>60715.703999999991</v>
      </c>
    </row>
    <row r="34" spans="2:11" ht="30" x14ac:dyDescent="0.25">
      <c r="B34" s="37" t="s">
        <v>226</v>
      </c>
      <c r="C34" s="37" t="s">
        <v>63</v>
      </c>
      <c r="D34" s="385" t="s">
        <v>227</v>
      </c>
      <c r="E34" s="386" t="s">
        <v>228</v>
      </c>
      <c r="F34" s="387" t="s">
        <v>66</v>
      </c>
      <c r="G34" s="278">
        <v>5724.21</v>
      </c>
      <c r="H34" s="388">
        <v>149.94</v>
      </c>
      <c r="I34" s="278">
        <v>858288</v>
      </c>
      <c r="J34" s="405">
        <v>607.4</v>
      </c>
      <c r="K34" s="406">
        <f t="shared" si="0"/>
        <v>91073.555999999997</v>
      </c>
    </row>
    <row r="35" spans="2:11" ht="30" x14ac:dyDescent="0.25">
      <c r="B35" s="37" t="s">
        <v>229</v>
      </c>
      <c r="C35" s="37" t="s">
        <v>63</v>
      </c>
      <c r="D35" s="385" t="s">
        <v>147</v>
      </c>
      <c r="E35" s="386" t="s">
        <v>148</v>
      </c>
      <c r="F35" s="387" t="s">
        <v>96</v>
      </c>
      <c r="G35" s="278">
        <v>4463.5200000000004</v>
      </c>
      <c r="H35" s="388">
        <v>98.39</v>
      </c>
      <c r="I35" s="278">
        <v>439165.7</v>
      </c>
      <c r="J35" s="405">
        <v>790.81332388289684</v>
      </c>
      <c r="K35" s="406">
        <f t="shared" si="0"/>
        <v>77808.122936838219</v>
      </c>
    </row>
    <row r="36" spans="2:11" ht="45" x14ac:dyDescent="0.25">
      <c r="B36" s="37" t="s">
        <v>230</v>
      </c>
      <c r="C36" s="37" t="s">
        <v>63</v>
      </c>
      <c r="D36" s="385" t="s">
        <v>231</v>
      </c>
      <c r="E36" s="386" t="s">
        <v>232</v>
      </c>
      <c r="F36" s="387" t="s">
        <v>96</v>
      </c>
      <c r="G36" s="278">
        <v>836.69</v>
      </c>
      <c r="H36" s="388">
        <v>247.39</v>
      </c>
      <c r="I36" s="278">
        <v>206988.7</v>
      </c>
      <c r="J36" s="405">
        <v>148.23852026194146</v>
      </c>
      <c r="K36" s="406">
        <f t="shared" si="0"/>
        <v>36672.727527601695</v>
      </c>
    </row>
    <row r="37" spans="2:11" ht="30" x14ac:dyDescent="0.25">
      <c r="B37" s="37" t="s">
        <v>233</v>
      </c>
      <c r="C37" s="37" t="s">
        <v>63</v>
      </c>
      <c r="D37" s="385" t="s">
        <v>234</v>
      </c>
      <c r="E37" s="386" t="s">
        <v>235</v>
      </c>
      <c r="F37" s="387" t="s">
        <v>96</v>
      </c>
      <c r="G37" s="278">
        <v>836.69</v>
      </c>
      <c r="H37" s="388">
        <v>44.72</v>
      </c>
      <c r="I37" s="278">
        <v>37416.800000000003</v>
      </c>
      <c r="J37" s="405">
        <v>148.23852026194146</v>
      </c>
      <c r="K37" s="406">
        <f t="shared" si="0"/>
        <v>6629.2266261140221</v>
      </c>
    </row>
    <row r="38" spans="2:11" ht="30" x14ac:dyDescent="0.25">
      <c r="B38" s="37" t="s">
        <v>236</v>
      </c>
      <c r="C38" s="37" t="s">
        <v>63</v>
      </c>
      <c r="D38" s="385" t="s">
        <v>237</v>
      </c>
      <c r="E38" s="386" t="s">
        <v>238</v>
      </c>
      <c r="F38" s="387" t="s">
        <v>96</v>
      </c>
      <c r="G38" s="278">
        <v>836.69</v>
      </c>
      <c r="H38" s="388">
        <v>11.84</v>
      </c>
      <c r="I38" s="278">
        <v>9906.4</v>
      </c>
      <c r="J38" s="405">
        <v>148.23852026194146</v>
      </c>
      <c r="K38" s="406">
        <f t="shared" si="0"/>
        <v>1755.1440799013869</v>
      </c>
    </row>
    <row r="39" spans="2:11" ht="30" x14ac:dyDescent="0.25">
      <c r="B39" s="37" t="s">
        <v>239</v>
      </c>
      <c r="C39" s="37" t="s">
        <v>63</v>
      </c>
      <c r="D39" s="385" t="s">
        <v>240</v>
      </c>
      <c r="E39" s="386" t="s">
        <v>241</v>
      </c>
      <c r="F39" s="387" t="s">
        <v>85</v>
      </c>
      <c r="G39" s="278">
        <v>1673.38</v>
      </c>
      <c r="H39" s="388">
        <v>116</v>
      </c>
      <c r="I39" s="278">
        <v>194112.1</v>
      </c>
      <c r="J39" s="405">
        <v>296.47704052388292</v>
      </c>
      <c r="K39" s="406">
        <f t="shared" si="0"/>
        <v>34391.336700770422</v>
      </c>
    </row>
    <row r="40" spans="2:11" ht="30" x14ac:dyDescent="0.25">
      <c r="B40" s="37" t="s">
        <v>242</v>
      </c>
      <c r="C40" s="37" t="s">
        <v>63</v>
      </c>
      <c r="D40" s="385" t="s">
        <v>243</v>
      </c>
      <c r="E40" s="386" t="s">
        <v>244</v>
      </c>
      <c r="F40" s="387" t="s">
        <v>96</v>
      </c>
      <c r="G40" s="278">
        <v>1813.42</v>
      </c>
      <c r="H40" s="388">
        <v>143.36000000000001</v>
      </c>
      <c r="I40" s="278">
        <v>259971.9</v>
      </c>
      <c r="J40" s="405">
        <v>321.28828767334363</v>
      </c>
      <c r="K40" s="406">
        <f t="shared" si="0"/>
        <v>46059.88892085055</v>
      </c>
    </row>
    <row r="41" spans="2:11" ht="30" x14ac:dyDescent="0.25">
      <c r="B41" s="37" t="s">
        <v>245</v>
      </c>
      <c r="C41" s="37" t="s">
        <v>63</v>
      </c>
      <c r="D41" s="385" t="s">
        <v>246</v>
      </c>
      <c r="E41" s="386" t="s">
        <v>247</v>
      </c>
      <c r="F41" s="387" t="s">
        <v>96</v>
      </c>
      <c r="G41" s="278">
        <v>643.04</v>
      </c>
      <c r="H41" s="388">
        <v>318.27999999999997</v>
      </c>
      <c r="I41" s="278">
        <v>204666.8</v>
      </c>
      <c r="J41" s="405">
        <v>113.92905146379044</v>
      </c>
      <c r="K41" s="406">
        <f t="shared" si="0"/>
        <v>36261.338499895217</v>
      </c>
    </row>
    <row r="42" spans="2:11" x14ac:dyDescent="0.25">
      <c r="B42" s="389" t="s">
        <v>248</v>
      </c>
      <c r="C42" s="389" t="s">
        <v>157</v>
      </c>
      <c r="D42" s="390" t="s">
        <v>249</v>
      </c>
      <c r="E42" s="391" t="s">
        <v>250</v>
      </c>
      <c r="F42" s="392" t="s">
        <v>85</v>
      </c>
      <c r="G42" s="393">
        <v>1286.08</v>
      </c>
      <c r="H42" s="394">
        <v>172.71</v>
      </c>
      <c r="I42" s="393">
        <v>222118.9</v>
      </c>
      <c r="J42" s="405">
        <v>227.85810292758089</v>
      </c>
      <c r="K42" s="406">
        <f t="shared" si="0"/>
        <v>39353.372956622494</v>
      </c>
    </row>
    <row r="43" spans="2:11" ht="30" x14ac:dyDescent="0.25">
      <c r="B43" s="37" t="s">
        <v>251</v>
      </c>
      <c r="C43" s="37" t="s">
        <v>63</v>
      </c>
      <c r="D43" s="385" t="s">
        <v>252</v>
      </c>
      <c r="E43" s="386" t="s">
        <v>253</v>
      </c>
      <c r="F43" s="387" t="s">
        <v>66</v>
      </c>
      <c r="G43" s="278">
        <v>175.45</v>
      </c>
      <c r="H43" s="388">
        <v>53.92</v>
      </c>
      <c r="I43" s="278">
        <v>9460.2999999999993</v>
      </c>
      <c r="J43" s="405"/>
      <c r="K43" s="406">
        <f t="shared" si="0"/>
        <v>0</v>
      </c>
    </row>
    <row r="44" spans="2:11" ht="45" x14ac:dyDescent="0.25">
      <c r="B44" s="37" t="s">
        <v>146</v>
      </c>
      <c r="C44" s="37" t="s">
        <v>63</v>
      </c>
      <c r="D44" s="385" t="s">
        <v>254</v>
      </c>
      <c r="E44" s="386" t="s">
        <v>255</v>
      </c>
      <c r="F44" s="387" t="s">
        <v>66</v>
      </c>
      <c r="G44" s="278">
        <v>124.85</v>
      </c>
      <c r="H44" s="388">
        <v>26.3</v>
      </c>
      <c r="I44" s="278">
        <v>3283.6</v>
      </c>
      <c r="J44" s="405"/>
      <c r="K44" s="406">
        <f t="shared" si="0"/>
        <v>0</v>
      </c>
    </row>
    <row r="45" spans="2:11" x14ac:dyDescent="0.25">
      <c r="B45" s="395"/>
      <c r="C45" s="396" t="s">
        <v>48</v>
      </c>
      <c r="D45" s="397" t="s">
        <v>184</v>
      </c>
      <c r="E45" s="397" t="s">
        <v>256</v>
      </c>
      <c r="F45" s="395"/>
      <c r="G45" s="395"/>
      <c r="H45" s="398"/>
      <c r="I45" s="399">
        <f>+SUBTOTAL(9,I46:I47)</f>
        <v>51219</v>
      </c>
      <c r="J45" s="405"/>
      <c r="K45" s="406" t="str">
        <f t="shared" si="0"/>
        <v/>
      </c>
    </row>
    <row r="46" spans="2:11" ht="30" x14ac:dyDescent="0.25">
      <c r="B46" s="37" t="s">
        <v>257</v>
      </c>
      <c r="C46" s="37" t="s">
        <v>63</v>
      </c>
      <c r="D46" s="385" t="s">
        <v>258</v>
      </c>
      <c r="E46" s="386" t="s">
        <v>259</v>
      </c>
      <c r="F46" s="387" t="s">
        <v>114</v>
      </c>
      <c r="G46" s="278">
        <v>1298</v>
      </c>
      <c r="H46" s="388">
        <v>32.880000000000003</v>
      </c>
      <c r="I46" s="278">
        <v>42678.2</v>
      </c>
      <c r="J46" s="405"/>
      <c r="K46" s="406">
        <f t="shared" si="0"/>
        <v>0</v>
      </c>
    </row>
    <row r="47" spans="2:11" ht="30" x14ac:dyDescent="0.25">
      <c r="B47" s="37" t="s">
        <v>260</v>
      </c>
      <c r="C47" s="37" t="s">
        <v>63</v>
      </c>
      <c r="D47" s="385" t="s">
        <v>261</v>
      </c>
      <c r="E47" s="386" t="s">
        <v>262</v>
      </c>
      <c r="F47" s="387" t="s">
        <v>114</v>
      </c>
      <c r="G47" s="278">
        <v>1298</v>
      </c>
      <c r="H47" s="388">
        <v>6.58</v>
      </c>
      <c r="I47" s="278">
        <v>8540.7999999999993</v>
      </c>
      <c r="J47" s="405"/>
      <c r="K47" s="406">
        <f t="shared" si="0"/>
        <v>0</v>
      </c>
    </row>
    <row r="48" spans="2:11" x14ac:dyDescent="0.25">
      <c r="B48" s="395"/>
      <c r="C48" s="396" t="s">
        <v>48</v>
      </c>
      <c r="D48" s="397" t="s">
        <v>62</v>
      </c>
      <c r="E48" s="397" t="s">
        <v>263</v>
      </c>
      <c r="F48" s="395"/>
      <c r="G48" s="395"/>
      <c r="H48" s="398"/>
      <c r="I48" s="399">
        <f>+SUBTOTAL(9,I49:I50)</f>
        <v>141785.1</v>
      </c>
      <c r="J48" s="405"/>
      <c r="K48" s="406" t="str">
        <f t="shared" si="0"/>
        <v/>
      </c>
    </row>
    <row r="49" spans="2:11" ht="30" x14ac:dyDescent="0.25">
      <c r="B49" s="37" t="s">
        <v>264</v>
      </c>
      <c r="C49" s="37" t="s">
        <v>63</v>
      </c>
      <c r="D49" s="385" t="s">
        <v>265</v>
      </c>
      <c r="E49" s="386" t="s">
        <v>266</v>
      </c>
      <c r="F49" s="387" t="s">
        <v>96</v>
      </c>
      <c r="G49" s="278">
        <v>142.78</v>
      </c>
      <c r="H49" s="388">
        <v>644.70000000000005</v>
      </c>
      <c r="I49" s="278">
        <v>92050.3</v>
      </c>
      <c r="J49" s="405">
        <v>25.296700000000001</v>
      </c>
      <c r="K49" s="406">
        <f t="shared" si="0"/>
        <v>16308.782490000001</v>
      </c>
    </row>
    <row r="50" spans="2:11" ht="30" x14ac:dyDescent="0.25">
      <c r="B50" s="37" t="s">
        <v>267</v>
      </c>
      <c r="C50" s="37" t="s">
        <v>63</v>
      </c>
      <c r="D50" s="385" t="s">
        <v>268</v>
      </c>
      <c r="E50" s="386" t="s">
        <v>269</v>
      </c>
      <c r="F50" s="387" t="s">
        <v>96</v>
      </c>
      <c r="G50" s="278">
        <v>15.6</v>
      </c>
      <c r="H50" s="388">
        <v>3188.13</v>
      </c>
      <c r="I50" s="278">
        <v>49734.8</v>
      </c>
      <c r="J50" s="405">
        <v>2.7638921417565485</v>
      </c>
      <c r="K50" s="406">
        <f t="shared" si="0"/>
        <v>8811.6474538983057</v>
      </c>
    </row>
    <row r="51" spans="2:11" x14ac:dyDescent="0.25">
      <c r="B51" s="395"/>
      <c r="C51" s="396" t="s">
        <v>48</v>
      </c>
      <c r="D51" s="397" t="s">
        <v>72</v>
      </c>
      <c r="E51" s="397" t="s">
        <v>73</v>
      </c>
      <c r="F51" s="395"/>
      <c r="G51" s="395"/>
      <c r="H51" s="398"/>
      <c r="I51" s="399">
        <f>+SUBTOTAL(9,I52:I62)</f>
        <v>1680317.5999999999</v>
      </c>
      <c r="J51" s="405"/>
      <c r="K51" s="406" t="str">
        <f t="shared" si="0"/>
        <v/>
      </c>
    </row>
    <row r="52" spans="2:11" ht="30" x14ac:dyDescent="0.25">
      <c r="B52" s="37" t="s">
        <v>270</v>
      </c>
      <c r="C52" s="37" t="s">
        <v>63</v>
      </c>
      <c r="D52" s="385" t="s">
        <v>150</v>
      </c>
      <c r="E52" s="386" t="s">
        <v>151</v>
      </c>
      <c r="F52" s="387" t="s">
        <v>66</v>
      </c>
      <c r="G52" s="278">
        <v>182.05</v>
      </c>
      <c r="H52" s="388">
        <v>155.66999999999999</v>
      </c>
      <c r="I52" s="278">
        <v>28339.7</v>
      </c>
      <c r="J52" s="405"/>
      <c r="K52" s="406">
        <f t="shared" si="0"/>
        <v>0</v>
      </c>
    </row>
    <row r="53" spans="2:11" ht="30" x14ac:dyDescent="0.25">
      <c r="B53" s="37" t="s">
        <v>179</v>
      </c>
      <c r="C53" s="37" t="s">
        <v>63</v>
      </c>
      <c r="D53" s="385" t="s">
        <v>271</v>
      </c>
      <c r="E53" s="386" t="s">
        <v>272</v>
      </c>
      <c r="F53" s="387" t="s">
        <v>66</v>
      </c>
      <c r="G53" s="278">
        <v>9.9</v>
      </c>
      <c r="H53" s="388">
        <v>206.97</v>
      </c>
      <c r="I53" s="278">
        <v>2049</v>
      </c>
      <c r="J53" s="405"/>
      <c r="K53" s="406">
        <f t="shared" si="0"/>
        <v>0</v>
      </c>
    </row>
    <row r="54" spans="2:11" ht="30" x14ac:dyDescent="0.25">
      <c r="B54" s="37" t="s">
        <v>273</v>
      </c>
      <c r="C54" s="37" t="s">
        <v>63</v>
      </c>
      <c r="D54" s="385" t="s">
        <v>274</v>
      </c>
      <c r="E54" s="386" t="s">
        <v>275</v>
      </c>
      <c r="F54" s="387" t="s">
        <v>66</v>
      </c>
      <c r="G54" s="278">
        <v>935.55</v>
      </c>
      <c r="H54" s="388">
        <v>302.54000000000002</v>
      </c>
      <c r="I54" s="278">
        <v>283041.3</v>
      </c>
      <c r="J54" s="405">
        <v>195</v>
      </c>
      <c r="K54" s="406">
        <f t="shared" si="0"/>
        <v>58995.3</v>
      </c>
    </row>
    <row r="55" spans="2:11" ht="30" x14ac:dyDescent="0.25">
      <c r="B55" s="37" t="s">
        <v>134</v>
      </c>
      <c r="C55" s="37" t="s">
        <v>63</v>
      </c>
      <c r="D55" s="385" t="s">
        <v>276</v>
      </c>
      <c r="E55" s="386" t="s">
        <v>277</v>
      </c>
      <c r="F55" s="387" t="s">
        <v>66</v>
      </c>
      <c r="G55" s="278">
        <v>160.05000000000001</v>
      </c>
      <c r="H55" s="388">
        <v>86.36</v>
      </c>
      <c r="I55" s="278">
        <v>13821.9</v>
      </c>
      <c r="J55" s="405"/>
      <c r="K55" s="406">
        <f t="shared" si="0"/>
        <v>0</v>
      </c>
    </row>
    <row r="56" spans="2:11" ht="30" x14ac:dyDescent="0.25">
      <c r="B56" s="37" t="s">
        <v>101</v>
      </c>
      <c r="C56" s="37" t="s">
        <v>63</v>
      </c>
      <c r="D56" s="385" t="s">
        <v>278</v>
      </c>
      <c r="E56" s="386" t="s">
        <v>279</v>
      </c>
      <c r="F56" s="387" t="s">
        <v>66</v>
      </c>
      <c r="G56" s="278">
        <v>9.9</v>
      </c>
      <c r="H56" s="388">
        <v>412.07</v>
      </c>
      <c r="I56" s="278">
        <v>4079.5</v>
      </c>
      <c r="J56" s="405"/>
      <c r="K56" s="406">
        <f t="shared" si="0"/>
        <v>0</v>
      </c>
    </row>
    <row r="57" spans="2:11" ht="30" x14ac:dyDescent="0.25">
      <c r="B57" s="37" t="s">
        <v>104</v>
      </c>
      <c r="C57" s="37" t="s">
        <v>63</v>
      </c>
      <c r="D57" s="385" t="s">
        <v>102</v>
      </c>
      <c r="E57" s="386" t="s">
        <v>103</v>
      </c>
      <c r="F57" s="387" t="s">
        <v>66</v>
      </c>
      <c r="G57" s="278">
        <v>785.4</v>
      </c>
      <c r="H57" s="388">
        <v>14.18</v>
      </c>
      <c r="I57" s="278">
        <v>11137</v>
      </c>
      <c r="J57" s="405"/>
      <c r="K57" s="406">
        <f t="shared" si="0"/>
        <v>0</v>
      </c>
    </row>
    <row r="58" spans="2:11" ht="30" x14ac:dyDescent="0.25">
      <c r="B58" s="37" t="s">
        <v>105</v>
      </c>
      <c r="C58" s="37" t="s">
        <v>63</v>
      </c>
      <c r="D58" s="385" t="s">
        <v>75</v>
      </c>
      <c r="E58" s="386" t="s">
        <v>76</v>
      </c>
      <c r="F58" s="387" t="s">
        <v>66</v>
      </c>
      <c r="G58" s="278">
        <v>1499.4</v>
      </c>
      <c r="H58" s="388">
        <v>20.62</v>
      </c>
      <c r="I58" s="278">
        <v>30917.599999999999</v>
      </c>
      <c r="J58" s="405"/>
      <c r="K58" s="406">
        <f t="shared" si="0"/>
        <v>0</v>
      </c>
    </row>
    <row r="59" spans="2:11" ht="45" x14ac:dyDescent="0.25">
      <c r="B59" s="37" t="s">
        <v>106</v>
      </c>
      <c r="C59" s="37" t="s">
        <v>63</v>
      </c>
      <c r="D59" s="385" t="s">
        <v>78</v>
      </c>
      <c r="E59" s="386" t="s">
        <v>79</v>
      </c>
      <c r="F59" s="387" t="s">
        <v>66</v>
      </c>
      <c r="G59" s="278">
        <v>1499.4</v>
      </c>
      <c r="H59" s="388">
        <v>396.71</v>
      </c>
      <c r="I59" s="278">
        <v>594827</v>
      </c>
      <c r="J59" s="405"/>
      <c r="K59" s="406">
        <f t="shared" si="0"/>
        <v>0</v>
      </c>
    </row>
    <row r="60" spans="2:11" ht="30" x14ac:dyDescent="0.25">
      <c r="B60" s="37" t="s">
        <v>124</v>
      </c>
      <c r="C60" s="37" t="s">
        <v>63</v>
      </c>
      <c r="D60" s="385" t="s">
        <v>107</v>
      </c>
      <c r="E60" s="386" t="s">
        <v>108</v>
      </c>
      <c r="F60" s="387" t="s">
        <v>66</v>
      </c>
      <c r="G60" s="278">
        <v>785.4</v>
      </c>
      <c r="H60" s="388">
        <v>559.51</v>
      </c>
      <c r="I60" s="278">
        <v>439439.2</v>
      </c>
      <c r="J60" s="405"/>
      <c r="K60" s="406">
        <f t="shared" si="0"/>
        <v>0</v>
      </c>
    </row>
    <row r="61" spans="2:11" ht="30" x14ac:dyDescent="0.25">
      <c r="B61" s="37" t="s">
        <v>174</v>
      </c>
      <c r="C61" s="37" t="s">
        <v>63</v>
      </c>
      <c r="D61" s="385" t="s">
        <v>154</v>
      </c>
      <c r="E61" s="386" t="s">
        <v>155</v>
      </c>
      <c r="F61" s="387" t="s">
        <v>66</v>
      </c>
      <c r="G61" s="278">
        <v>182.05</v>
      </c>
      <c r="H61" s="388">
        <v>745.05</v>
      </c>
      <c r="I61" s="278">
        <v>135636.4</v>
      </c>
      <c r="J61" s="405"/>
      <c r="K61" s="406">
        <f t="shared" si="0"/>
        <v>0</v>
      </c>
    </row>
    <row r="62" spans="2:11" x14ac:dyDescent="0.25">
      <c r="B62" s="389" t="s">
        <v>280</v>
      </c>
      <c r="C62" s="389" t="s">
        <v>157</v>
      </c>
      <c r="D62" s="390" t="s">
        <v>158</v>
      </c>
      <c r="E62" s="391" t="s">
        <v>159</v>
      </c>
      <c r="F62" s="392" t="s">
        <v>85</v>
      </c>
      <c r="G62" s="393">
        <v>36.409999999999997</v>
      </c>
      <c r="H62" s="394">
        <v>3763.5</v>
      </c>
      <c r="I62" s="393">
        <v>137029</v>
      </c>
      <c r="J62" s="405"/>
      <c r="K62" s="406">
        <f t="shared" si="0"/>
        <v>0</v>
      </c>
    </row>
    <row r="63" spans="2:11" x14ac:dyDescent="0.25">
      <c r="B63" s="395"/>
      <c r="C63" s="396" t="s">
        <v>48</v>
      </c>
      <c r="D63" s="397" t="s">
        <v>123</v>
      </c>
      <c r="E63" s="397" t="s">
        <v>281</v>
      </c>
      <c r="F63" s="395"/>
      <c r="G63" s="395"/>
      <c r="H63" s="398"/>
      <c r="I63" s="399">
        <f>+SUBTOTAL(9,I64:I70)</f>
        <v>1267198</v>
      </c>
      <c r="J63" s="405"/>
      <c r="K63" s="406" t="str">
        <f t="shared" si="0"/>
        <v/>
      </c>
    </row>
    <row r="64" spans="2:11" ht="45" x14ac:dyDescent="0.25">
      <c r="B64" s="37" t="s">
        <v>282</v>
      </c>
      <c r="C64" s="37" t="s">
        <v>63</v>
      </c>
      <c r="D64" s="385" t="s">
        <v>283</v>
      </c>
      <c r="E64" s="386" t="s">
        <v>284</v>
      </c>
      <c r="F64" s="387" t="s">
        <v>114</v>
      </c>
      <c r="G64" s="278">
        <v>1298</v>
      </c>
      <c r="H64" s="388">
        <v>368.26</v>
      </c>
      <c r="I64" s="278">
        <v>478001.5</v>
      </c>
      <c r="J64" s="405">
        <v>229.97</v>
      </c>
      <c r="K64" s="406">
        <f t="shared" si="0"/>
        <v>84688.752200000003</v>
      </c>
    </row>
    <row r="65" spans="2:11" ht="22.5" x14ac:dyDescent="0.25">
      <c r="B65" s="389" t="s">
        <v>285</v>
      </c>
      <c r="C65" s="389" t="s">
        <v>157</v>
      </c>
      <c r="D65" s="390" t="s">
        <v>286</v>
      </c>
      <c r="E65" s="391" t="s">
        <v>287</v>
      </c>
      <c r="F65" s="392" t="s">
        <v>114</v>
      </c>
      <c r="G65" s="393">
        <v>1298</v>
      </c>
      <c r="H65" s="394">
        <v>460.33</v>
      </c>
      <c r="I65" s="393">
        <v>597508.30000000005</v>
      </c>
      <c r="J65" s="405">
        <v>229.97</v>
      </c>
      <c r="K65" s="406">
        <f t="shared" si="0"/>
        <v>105862.0901</v>
      </c>
    </row>
    <row r="66" spans="2:11" ht="45" x14ac:dyDescent="0.25">
      <c r="B66" s="37" t="s">
        <v>74</v>
      </c>
      <c r="C66" s="37" t="s">
        <v>63</v>
      </c>
      <c r="D66" s="385" t="s">
        <v>288</v>
      </c>
      <c r="E66" s="386" t="s">
        <v>289</v>
      </c>
      <c r="F66" s="387" t="s">
        <v>290</v>
      </c>
      <c r="G66" s="278">
        <v>310</v>
      </c>
      <c r="H66" s="388">
        <v>159.13999999999999</v>
      </c>
      <c r="I66" s="278">
        <v>49333.4</v>
      </c>
      <c r="J66" s="405">
        <v>59</v>
      </c>
      <c r="K66" s="406">
        <f t="shared" si="0"/>
        <v>9389.2599999999984</v>
      </c>
    </row>
    <row r="67" spans="2:11" ht="22.5" x14ac:dyDescent="0.25">
      <c r="B67" s="389" t="s">
        <v>77</v>
      </c>
      <c r="C67" s="389" t="s">
        <v>157</v>
      </c>
      <c r="D67" s="390" t="s">
        <v>291</v>
      </c>
      <c r="E67" s="391" t="s">
        <v>292</v>
      </c>
      <c r="F67" s="392" t="s">
        <v>290</v>
      </c>
      <c r="G67" s="393">
        <v>49.74</v>
      </c>
      <c r="H67" s="394">
        <v>437.97</v>
      </c>
      <c r="I67" s="393">
        <v>21784.6</v>
      </c>
      <c r="J67" s="405">
        <v>15</v>
      </c>
      <c r="K67" s="406">
        <f t="shared" si="0"/>
        <v>6569.55</v>
      </c>
    </row>
    <row r="68" spans="2:11" ht="22.5" x14ac:dyDescent="0.25">
      <c r="B68" s="389" t="s">
        <v>293</v>
      </c>
      <c r="C68" s="389" t="s">
        <v>157</v>
      </c>
      <c r="D68" s="390" t="s">
        <v>294</v>
      </c>
      <c r="E68" s="391" t="s">
        <v>295</v>
      </c>
      <c r="F68" s="392" t="s">
        <v>290</v>
      </c>
      <c r="G68" s="393">
        <v>264.92</v>
      </c>
      <c r="H68" s="394">
        <v>135.47</v>
      </c>
      <c r="I68" s="393">
        <v>35888.699999999997</v>
      </c>
      <c r="J68" s="405">
        <v>44</v>
      </c>
      <c r="K68" s="406">
        <f t="shared" si="0"/>
        <v>5960.68</v>
      </c>
    </row>
    <row r="69" spans="2:11" ht="90" x14ac:dyDescent="0.25">
      <c r="B69" s="37" t="s">
        <v>296</v>
      </c>
      <c r="C69" s="37" t="s">
        <v>63</v>
      </c>
      <c r="D69" s="385" t="s">
        <v>297</v>
      </c>
      <c r="E69" s="386" t="s">
        <v>298</v>
      </c>
      <c r="F69" s="387" t="s">
        <v>114</v>
      </c>
      <c r="G69" s="278">
        <v>1298</v>
      </c>
      <c r="H69" s="388">
        <v>56.03</v>
      </c>
      <c r="I69" s="278">
        <v>72726.899999999994</v>
      </c>
      <c r="J69" s="405"/>
      <c r="K69" s="406">
        <f t="shared" si="0"/>
        <v>0</v>
      </c>
    </row>
    <row r="70" spans="2:11" ht="45" x14ac:dyDescent="0.25">
      <c r="B70" s="37" t="s">
        <v>149</v>
      </c>
      <c r="C70" s="37" t="s">
        <v>63</v>
      </c>
      <c r="D70" s="385" t="s">
        <v>299</v>
      </c>
      <c r="E70" s="386" t="s">
        <v>300</v>
      </c>
      <c r="F70" s="387" t="s">
        <v>114</v>
      </c>
      <c r="G70" s="278">
        <v>1298</v>
      </c>
      <c r="H70" s="388">
        <v>9.2100000000000009</v>
      </c>
      <c r="I70" s="278">
        <v>11954.6</v>
      </c>
      <c r="J70" s="405"/>
      <c r="K70" s="406">
        <f t="shared" si="0"/>
        <v>0</v>
      </c>
    </row>
    <row r="71" spans="2:11" x14ac:dyDescent="0.25">
      <c r="B71" s="395"/>
      <c r="C71" s="396" t="s">
        <v>48</v>
      </c>
      <c r="D71" s="397" t="s">
        <v>109</v>
      </c>
      <c r="E71" s="397" t="s">
        <v>110</v>
      </c>
      <c r="F71" s="395"/>
      <c r="G71" s="395"/>
      <c r="H71" s="398"/>
      <c r="I71" s="399">
        <f>+SUBTOTAL(9,I72:I73)</f>
        <v>228465.7</v>
      </c>
      <c r="J71" s="405"/>
      <c r="K71" s="406" t="str">
        <f t="shared" si="0"/>
        <v/>
      </c>
    </row>
    <row r="72" spans="2:11" ht="45" x14ac:dyDescent="0.25">
      <c r="B72" s="37" t="s">
        <v>125</v>
      </c>
      <c r="C72" s="37" t="s">
        <v>63</v>
      </c>
      <c r="D72" s="385" t="s">
        <v>112</v>
      </c>
      <c r="E72" s="386" t="s">
        <v>113</v>
      </c>
      <c r="F72" s="387" t="s">
        <v>114</v>
      </c>
      <c r="G72" s="278">
        <v>1428</v>
      </c>
      <c r="H72" s="388">
        <v>87.65</v>
      </c>
      <c r="I72" s="278">
        <v>125164.2</v>
      </c>
      <c r="J72" s="405"/>
      <c r="K72" s="406">
        <f t="shared" si="0"/>
        <v>0</v>
      </c>
    </row>
    <row r="73" spans="2:11" ht="30" x14ac:dyDescent="0.25">
      <c r="B73" s="37" t="s">
        <v>126</v>
      </c>
      <c r="C73" s="37" t="s">
        <v>63</v>
      </c>
      <c r="D73" s="385" t="s">
        <v>116</v>
      </c>
      <c r="E73" s="386" t="s">
        <v>117</v>
      </c>
      <c r="F73" s="387" t="s">
        <v>114</v>
      </c>
      <c r="G73" s="278">
        <v>1428</v>
      </c>
      <c r="H73" s="388">
        <v>72.34</v>
      </c>
      <c r="I73" s="278">
        <v>103301.5</v>
      </c>
      <c r="J73" s="405"/>
      <c r="K73" s="406">
        <f t="shared" si="0"/>
        <v>0</v>
      </c>
    </row>
    <row r="74" spans="2:11" x14ac:dyDescent="0.25">
      <c r="B74" s="395"/>
      <c r="C74" s="396" t="s">
        <v>48</v>
      </c>
      <c r="D74" s="397" t="s">
        <v>80</v>
      </c>
      <c r="E74" s="397" t="s">
        <v>81</v>
      </c>
      <c r="F74" s="395"/>
      <c r="G74" s="395"/>
      <c r="H74" s="398"/>
      <c r="I74" s="399">
        <f>+SUBTOTAL(9,I75:I78)</f>
        <v>363304</v>
      </c>
      <c r="J74" s="405"/>
      <c r="K74" s="406" t="str">
        <f t="shared" si="0"/>
        <v/>
      </c>
    </row>
    <row r="75" spans="2:11" ht="30" x14ac:dyDescent="0.25">
      <c r="B75" s="37" t="s">
        <v>127</v>
      </c>
      <c r="C75" s="37" t="s">
        <v>63</v>
      </c>
      <c r="D75" s="385" t="s">
        <v>83</v>
      </c>
      <c r="E75" s="386" t="s">
        <v>84</v>
      </c>
      <c r="F75" s="387" t="s">
        <v>85</v>
      </c>
      <c r="G75" s="278">
        <v>1048.51</v>
      </c>
      <c r="H75" s="388">
        <v>153.18</v>
      </c>
      <c r="I75" s="278">
        <v>160610.79999999999</v>
      </c>
      <c r="J75" s="405">
        <v>185.76721471494608</v>
      </c>
      <c r="K75" s="406">
        <f t="shared" si="0"/>
        <v>28455.821950035443</v>
      </c>
    </row>
    <row r="76" spans="2:11" ht="45" x14ac:dyDescent="0.25">
      <c r="B76" s="37" t="s">
        <v>128</v>
      </c>
      <c r="C76" s="37" t="s">
        <v>63</v>
      </c>
      <c r="D76" s="385" t="s">
        <v>129</v>
      </c>
      <c r="E76" s="386" t="s">
        <v>130</v>
      </c>
      <c r="F76" s="387" t="s">
        <v>85</v>
      </c>
      <c r="G76" s="278">
        <v>6.19</v>
      </c>
      <c r="H76" s="388">
        <v>154.66999999999999</v>
      </c>
      <c r="I76" s="278">
        <v>957.4</v>
      </c>
      <c r="J76" s="405">
        <v>1.0966982280431434</v>
      </c>
      <c r="K76" s="406">
        <f t="shared" si="0"/>
        <v>169.62631493143297</v>
      </c>
    </row>
    <row r="77" spans="2:11" ht="45" x14ac:dyDescent="0.25">
      <c r="B77" s="37" t="s">
        <v>301</v>
      </c>
      <c r="C77" s="37" t="s">
        <v>63</v>
      </c>
      <c r="D77" s="385" t="s">
        <v>87</v>
      </c>
      <c r="E77" s="386" t="s">
        <v>88</v>
      </c>
      <c r="F77" s="387" t="s">
        <v>85</v>
      </c>
      <c r="G77" s="278">
        <v>392.98</v>
      </c>
      <c r="H77" s="388">
        <v>257.77999999999997</v>
      </c>
      <c r="I77" s="278">
        <v>101302.39999999999</v>
      </c>
      <c r="J77" s="405">
        <v>69.625277812018496</v>
      </c>
      <c r="K77" s="406">
        <f t="shared" si="0"/>
        <v>17948.004114382125</v>
      </c>
    </row>
    <row r="78" spans="2:11" ht="30" x14ac:dyDescent="0.25">
      <c r="B78" s="37" t="s">
        <v>302</v>
      </c>
      <c r="C78" s="37" t="s">
        <v>63</v>
      </c>
      <c r="D78" s="385" t="s">
        <v>168</v>
      </c>
      <c r="E78" s="386" t="s">
        <v>169</v>
      </c>
      <c r="F78" s="387" t="s">
        <v>85</v>
      </c>
      <c r="G78" s="278">
        <v>649.34</v>
      </c>
      <c r="H78" s="388">
        <v>154.66999999999999</v>
      </c>
      <c r="I78" s="278">
        <v>100433.4</v>
      </c>
      <c r="J78" s="405">
        <v>115.04523867488444</v>
      </c>
      <c r="K78" s="406">
        <f t="shared" ref="K78:K80" si="1">IF(ISBLANK(H78),"",J78*H78)</f>
        <v>17794.047065844377</v>
      </c>
    </row>
    <row r="79" spans="2:11" x14ac:dyDescent="0.25">
      <c r="B79" s="395"/>
      <c r="C79" s="396" t="s">
        <v>48</v>
      </c>
      <c r="D79" s="397" t="s">
        <v>303</v>
      </c>
      <c r="E79" s="397" t="s">
        <v>304</v>
      </c>
      <c r="F79" s="395"/>
      <c r="G79" s="395"/>
      <c r="H79" s="398"/>
      <c r="I79" s="399">
        <f>+SUBTOTAL(9,I80)</f>
        <v>274228.09999999998</v>
      </c>
      <c r="J79" s="405"/>
      <c r="K79" s="406" t="str">
        <f t="shared" si="1"/>
        <v/>
      </c>
    </row>
    <row r="80" spans="2:11" ht="30" x14ac:dyDescent="0.25">
      <c r="B80" s="37" t="s">
        <v>305</v>
      </c>
      <c r="C80" s="37" t="s">
        <v>63</v>
      </c>
      <c r="D80" s="385" t="s">
        <v>306</v>
      </c>
      <c r="E80" s="386" t="s">
        <v>307</v>
      </c>
      <c r="F80" s="387" t="s">
        <v>85</v>
      </c>
      <c r="G80" s="278">
        <v>2396.6799999999998</v>
      </c>
      <c r="H80" s="388">
        <v>114.42</v>
      </c>
      <c r="I80" s="278">
        <v>274228.09999999998</v>
      </c>
      <c r="J80" s="405">
        <v>424.62596271186436</v>
      </c>
      <c r="K80" s="406">
        <f t="shared" si="1"/>
        <v>48585.70265349152</v>
      </c>
    </row>
    <row r="81" spans="2:14" x14ac:dyDescent="0.25">
      <c r="B81" s="19"/>
      <c r="C81" s="19"/>
      <c r="D81" s="19"/>
      <c r="E81" s="19"/>
      <c r="F81" s="19"/>
      <c r="G81" s="19"/>
      <c r="H81" s="64"/>
      <c r="I81" s="19"/>
      <c r="J81" s="19"/>
      <c r="K81" s="19"/>
    </row>
    <row r="82" spans="2:14" x14ac:dyDescent="0.25">
      <c r="C82" s="400"/>
      <c r="D82" s="401" t="s">
        <v>533</v>
      </c>
      <c r="E82" s="402"/>
      <c r="F82" s="402"/>
      <c r="G82" s="403"/>
      <c r="H82" s="402"/>
      <c r="I82" s="404">
        <f>I11</f>
        <v>8748429.9000000004</v>
      </c>
      <c r="J82" s="407"/>
      <c r="K82" s="404">
        <f>ROUND(SUM(K11:K80),2)</f>
        <v>1108624.6000000001</v>
      </c>
    </row>
    <row r="84" spans="2:14" ht="15.75" x14ac:dyDescent="0.25">
      <c r="M84" s="380"/>
      <c r="N84" s="380"/>
    </row>
    <row r="85" spans="2:14" ht="15.75" x14ac:dyDescent="0.25">
      <c r="M85" s="380"/>
      <c r="N85" s="380"/>
    </row>
    <row r="86" spans="2:14" ht="15.75" x14ac:dyDescent="0.25">
      <c r="M86" s="380"/>
      <c r="N86" s="380"/>
    </row>
  </sheetData>
  <mergeCells count="1">
    <mergeCell ref="J11:K13"/>
  </mergeCells>
  <conditionalFormatting sqref="X1:AD1 B1:V1">
    <cfRule type="cellIs" dxfId="7" priority="7" stopIfTrue="1" operator="lessThan">
      <formula>0</formula>
    </cfRule>
  </conditionalFormatting>
  <conditionalFormatting sqref="J11 J14:K80">
    <cfRule type="cellIs" dxfId="6" priority="5" operator="lessThan">
      <formula>0</formula>
    </cfRule>
  </conditionalFormatting>
  <conditionalFormatting sqref="J82">
    <cfRule type="cellIs" dxfId="5" priority="4" operator="lessThan">
      <formula>0</formula>
    </cfRule>
  </conditionalFormatting>
  <conditionalFormatting sqref="C82:I82">
    <cfRule type="cellIs" dxfId="4" priority="3" operator="lessThan">
      <formula>0</formula>
    </cfRule>
  </conditionalFormatting>
  <conditionalFormatting sqref="K82">
    <cfRule type="cellIs" dxfId="3" priority="2" operator="lessThan">
      <formula>0</formula>
    </cfRule>
  </conditionalFormatting>
  <conditionalFormatting sqref="F3">
    <cfRule type="cellIs" dxfId="2" priority="1" stopIfTrue="1" operator="lessThan">
      <formula>0</formula>
    </cfRule>
  </conditionalFormatting>
  <pageMargins left="0.7" right="0.7" top="0.78740157499999996" bottom="0.78740157499999996" header="0.3" footer="0.3"/>
  <pageSetup paperSize="9" scale="8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FBC38-8A2A-4837-B360-ADC57D9876AD}">
  <dimension ref="A1:AC29"/>
  <sheetViews>
    <sheetView tabSelected="1" view="pageBreakPreview" zoomScale="60" zoomScaleNormal="100" workbookViewId="0">
      <selection activeCell="H35" sqref="H35"/>
    </sheetView>
  </sheetViews>
  <sheetFormatPr defaultRowHeight="15" x14ac:dyDescent="0.25"/>
  <cols>
    <col min="3" max="3" width="13.5703125" customWidth="1"/>
    <col min="4" max="4" width="66.140625" bestFit="1" customWidth="1"/>
    <col min="8" max="8" width="13.42578125" bestFit="1" customWidth="1"/>
  </cols>
  <sheetData>
    <row r="1" spans="1:29" s="42" customFormat="1" ht="39" customHeight="1" x14ac:dyDescent="0.2">
      <c r="A1" s="38"/>
      <c r="B1" s="38"/>
      <c r="C1" s="38"/>
      <c r="D1" s="38"/>
      <c r="E1" s="39"/>
      <c r="F1" s="38"/>
      <c r="G1" s="40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s="42" customFormat="1" ht="18" customHeight="1" x14ac:dyDescent="0.25">
      <c r="A2" s="4"/>
      <c r="B2" s="10"/>
      <c r="D2" s="2" t="s">
        <v>0</v>
      </c>
      <c r="E2" s="3" t="s">
        <v>1</v>
      </c>
      <c r="F2" s="5"/>
      <c r="G2" s="6"/>
      <c r="H2" s="45"/>
      <c r="I2" s="45"/>
      <c r="J2" s="45"/>
      <c r="K2" s="46"/>
      <c r="L2" s="46"/>
      <c r="M2" s="46"/>
      <c r="N2" s="45"/>
      <c r="O2" s="45"/>
      <c r="P2" s="46"/>
      <c r="Q2" s="45"/>
      <c r="R2" s="46"/>
      <c r="S2" s="45"/>
      <c r="T2" s="46"/>
      <c r="U2" s="45"/>
      <c r="V2" s="46"/>
      <c r="W2" s="45"/>
      <c r="X2" s="46"/>
      <c r="Y2" s="45"/>
      <c r="Z2" s="49"/>
      <c r="AA2" s="50"/>
      <c r="AB2" s="51"/>
      <c r="AC2" s="52"/>
    </row>
    <row r="3" spans="1:29" s="42" customFormat="1" ht="18" customHeight="1" x14ac:dyDescent="0.25">
      <c r="A3" s="4"/>
      <c r="B3" s="10"/>
      <c r="D3" s="2" t="s">
        <v>2</v>
      </c>
      <c r="E3" s="3" t="s">
        <v>547</v>
      </c>
      <c r="F3" s="5"/>
      <c r="G3" s="6"/>
      <c r="H3" s="45"/>
      <c r="I3" s="45"/>
      <c r="J3" s="45"/>
      <c r="K3" s="46"/>
      <c r="L3" s="46"/>
      <c r="M3" s="46"/>
      <c r="N3" s="45"/>
      <c r="O3" s="45"/>
      <c r="P3" s="46"/>
      <c r="Q3" s="45"/>
      <c r="R3" s="46"/>
      <c r="S3" s="45"/>
      <c r="T3" s="46"/>
      <c r="U3" s="45"/>
      <c r="V3" s="46"/>
      <c r="W3" s="45"/>
      <c r="X3" s="46"/>
      <c r="Y3" s="45"/>
      <c r="Z3" s="49"/>
      <c r="AA3" s="50"/>
      <c r="AB3" s="51"/>
      <c r="AC3" s="52"/>
    </row>
    <row r="4" spans="1:29" s="42" customFormat="1" ht="18" customHeight="1" x14ac:dyDescent="0.25">
      <c r="A4" s="4"/>
      <c r="B4" s="10"/>
      <c r="D4" s="7" t="s">
        <v>3</v>
      </c>
      <c r="E4" s="8" t="s">
        <v>4</v>
      </c>
      <c r="F4" s="5"/>
      <c r="G4" s="6"/>
      <c r="H4" s="45"/>
      <c r="I4" s="45"/>
      <c r="J4" s="45"/>
      <c r="K4" s="46"/>
      <c r="L4" s="46"/>
      <c r="M4" s="46"/>
      <c r="N4" s="45"/>
      <c r="O4" s="45"/>
      <c r="P4" s="46"/>
      <c r="Q4" s="45"/>
      <c r="R4" s="46"/>
      <c r="S4" s="45"/>
      <c r="T4" s="46"/>
      <c r="U4" s="45"/>
      <c r="V4" s="46"/>
      <c r="W4" s="45"/>
      <c r="X4" s="46"/>
      <c r="Y4" s="45"/>
      <c r="Z4" s="49"/>
      <c r="AA4" s="50"/>
      <c r="AB4" s="51"/>
      <c r="AC4" s="52"/>
    </row>
    <row r="5" spans="1:29" s="42" customFormat="1" ht="18" customHeight="1" x14ac:dyDescent="0.25">
      <c r="A5" s="10"/>
      <c r="B5" s="10"/>
      <c r="D5" s="7" t="s">
        <v>5</v>
      </c>
      <c r="E5" s="9" t="s">
        <v>6</v>
      </c>
      <c r="F5" s="11"/>
      <c r="G5" s="6"/>
      <c r="H5" s="285"/>
      <c r="I5" s="285"/>
      <c r="J5" s="285"/>
      <c r="K5" s="286"/>
      <c r="L5" s="286"/>
      <c r="M5" s="286"/>
      <c r="N5" s="285"/>
      <c r="O5" s="285"/>
      <c r="P5" s="286"/>
      <c r="Q5" s="285"/>
      <c r="R5" s="286"/>
      <c r="S5" s="285"/>
      <c r="T5" s="286"/>
      <c r="U5" s="285"/>
      <c r="V5" s="286"/>
      <c r="W5" s="285"/>
      <c r="X5" s="286"/>
      <c r="Y5" s="285"/>
      <c r="Z5" s="287"/>
      <c r="AA5" s="288"/>
      <c r="AB5" s="289"/>
      <c r="AC5" s="290"/>
    </row>
    <row r="6" spans="1:29" s="42" customFormat="1" ht="18" customHeight="1" x14ac:dyDescent="0.25">
      <c r="A6" s="10"/>
      <c r="B6" s="10"/>
      <c r="D6" s="2" t="s">
        <v>7</v>
      </c>
      <c r="E6" s="12" t="s">
        <v>8</v>
      </c>
      <c r="F6" s="11"/>
      <c r="G6" s="6"/>
      <c r="H6" s="285"/>
      <c r="I6" s="285"/>
      <c r="J6" s="285"/>
      <c r="K6" s="286"/>
      <c r="L6" s="286"/>
      <c r="M6" s="286"/>
      <c r="N6" s="285"/>
      <c r="O6" s="285"/>
      <c r="P6" s="286"/>
      <c r="Q6" s="285"/>
      <c r="R6" s="286"/>
      <c r="S6" s="285"/>
      <c r="T6" s="286"/>
      <c r="U6" s="285"/>
      <c r="V6" s="286"/>
      <c r="W6" s="285"/>
      <c r="X6" s="286"/>
      <c r="Y6" s="285"/>
      <c r="Z6" s="287"/>
      <c r="AA6" s="288"/>
      <c r="AB6" s="289"/>
      <c r="AC6" s="290"/>
    </row>
    <row r="7" spans="1:29" s="42" customFormat="1" ht="18" customHeight="1" x14ac:dyDescent="0.25">
      <c r="A7" s="10"/>
      <c r="B7" s="10"/>
      <c r="D7" s="2" t="s">
        <v>9</v>
      </c>
      <c r="E7" s="12" t="s">
        <v>10</v>
      </c>
      <c r="F7" s="11"/>
      <c r="G7" s="6"/>
      <c r="H7" s="285"/>
      <c r="I7" s="285"/>
      <c r="J7" s="285"/>
      <c r="K7" s="286"/>
      <c r="L7" s="286"/>
      <c r="M7" s="286"/>
      <c r="N7" s="285"/>
      <c r="O7" s="285"/>
      <c r="P7" s="286"/>
      <c r="Q7" s="285"/>
      <c r="R7" s="286"/>
      <c r="S7" s="285"/>
      <c r="T7" s="286"/>
      <c r="U7" s="285"/>
      <c r="V7" s="286"/>
      <c r="W7" s="285"/>
      <c r="X7" s="286"/>
      <c r="Y7" s="285"/>
      <c r="Z7" s="287"/>
      <c r="AA7" s="288"/>
      <c r="AB7" s="289"/>
      <c r="AC7" s="290"/>
    </row>
    <row r="8" spans="1:29" s="42" customFormat="1" ht="18" customHeight="1" x14ac:dyDescent="0.25">
      <c r="A8" s="10"/>
      <c r="B8" s="10"/>
      <c r="C8" s="2"/>
      <c r="D8" s="291"/>
      <c r="E8" s="284"/>
      <c r="F8" s="11"/>
      <c r="G8" s="6"/>
      <c r="H8" s="285"/>
      <c r="I8" s="285"/>
      <c r="J8" s="285"/>
      <c r="K8" s="286"/>
      <c r="L8" s="286"/>
      <c r="M8" s="286"/>
      <c r="N8" s="285"/>
      <c r="O8" s="285"/>
      <c r="P8" s="286"/>
      <c r="Q8" s="285"/>
      <c r="R8" s="286"/>
      <c r="S8" s="285"/>
      <c r="T8" s="286"/>
      <c r="U8" s="285"/>
      <c r="V8" s="286"/>
      <c r="W8" s="285"/>
      <c r="X8" s="286"/>
      <c r="Y8" s="285"/>
      <c r="Z8" s="287"/>
      <c r="AA8" s="288"/>
      <c r="AB8" s="289"/>
      <c r="AC8" s="290"/>
    </row>
    <row r="9" spans="1:29" s="42" customFormat="1" ht="18" customHeight="1" x14ac:dyDescent="0.2">
      <c r="B9" s="292"/>
      <c r="C9" s="293"/>
      <c r="D9" s="294"/>
      <c r="E9" s="295"/>
      <c r="F9" s="296"/>
      <c r="G9" s="297"/>
      <c r="H9" s="298"/>
      <c r="I9" s="299"/>
      <c r="J9" s="300"/>
      <c r="K9" s="301"/>
      <c r="L9" s="301"/>
      <c r="M9" s="302"/>
    </row>
    <row r="10" spans="1:29" s="42" customFormat="1" ht="18" customHeight="1" x14ac:dyDescent="0.25">
      <c r="B10" s="282" t="s">
        <v>532</v>
      </c>
      <c r="C10" s="303"/>
      <c r="E10" s="304"/>
      <c r="F10" s="305"/>
      <c r="G10" s="306"/>
      <c r="H10" s="307"/>
      <c r="I10" s="308"/>
      <c r="J10" s="300"/>
      <c r="K10" s="301"/>
      <c r="L10" s="301"/>
      <c r="M10" s="302"/>
    </row>
    <row r="12" spans="1:29" ht="15.75" x14ac:dyDescent="0.25">
      <c r="A12" s="463" t="s">
        <v>534</v>
      </c>
      <c r="B12" s="463"/>
      <c r="C12" s="463"/>
      <c r="D12" s="463"/>
      <c r="E12" s="463"/>
      <c r="F12" s="463"/>
      <c r="G12" s="463"/>
      <c r="H12" s="463"/>
    </row>
    <row r="13" spans="1:29" x14ac:dyDescent="0.25">
      <c r="A13" s="408"/>
      <c r="B13" s="408"/>
      <c r="C13" s="408"/>
      <c r="D13" s="409" t="s">
        <v>535</v>
      </c>
      <c r="E13" s="408"/>
      <c r="F13" s="408"/>
      <c r="G13" s="408"/>
      <c r="H13" s="408"/>
    </row>
    <row r="14" spans="1:29" x14ac:dyDescent="0.25">
      <c r="A14" s="408"/>
      <c r="B14" s="408"/>
      <c r="C14" s="408"/>
      <c r="D14" s="408"/>
      <c r="E14" s="408"/>
      <c r="F14" s="408"/>
      <c r="G14" s="408"/>
      <c r="H14" s="408"/>
    </row>
    <row r="15" spans="1:29" ht="24" x14ac:dyDescent="0.25">
      <c r="A15" s="410" t="s">
        <v>39</v>
      </c>
      <c r="B15" s="411" t="s">
        <v>40</v>
      </c>
      <c r="C15" s="411" t="s">
        <v>41</v>
      </c>
      <c r="D15" s="411" t="s">
        <v>42</v>
      </c>
      <c r="E15" s="411" t="s">
        <v>43</v>
      </c>
      <c r="F15" s="411" t="s">
        <v>44</v>
      </c>
      <c r="G15" s="411" t="s">
        <v>45</v>
      </c>
      <c r="H15" s="411" t="s">
        <v>46</v>
      </c>
    </row>
    <row r="16" spans="1:29" x14ac:dyDescent="0.25">
      <c r="A16" s="408"/>
      <c r="B16" s="408"/>
      <c r="C16" s="408"/>
      <c r="D16" s="408"/>
      <c r="E16" s="408"/>
      <c r="F16" s="408"/>
      <c r="G16" s="408"/>
      <c r="H16" s="408"/>
    </row>
    <row r="17" spans="1:8" x14ac:dyDescent="0.25">
      <c r="A17" s="412"/>
      <c r="B17" s="408"/>
      <c r="C17" s="412" t="s">
        <v>536</v>
      </c>
      <c r="D17" s="408"/>
      <c r="E17" s="408"/>
      <c r="F17" s="408"/>
      <c r="G17" s="408"/>
      <c r="H17" s="408"/>
    </row>
    <row r="18" spans="1:8" x14ac:dyDescent="0.25">
      <c r="A18" s="412"/>
      <c r="B18" s="408"/>
      <c r="C18" s="412"/>
      <c r="D18" s="408"/>
      <c r="E18" s="408"/>
      <c r="F18" s="408"/>
      <c r="G18" s="408"/>
      <c r="H18" s="408"/>
    </row>
    <row r="19" spans="1:8" x14ac:dyDescent="0.25">
      <c r="A19" s="413" t="s">
        <v>537</v>
      </c>
      <c r="B19" s="408"/>
      <c r="C19" s="408">
        <v>307107222</v>
      </c>
      <c r="D19" s="408" t="s">
        <v>538</v>
      </c>
      <c r="E19" s="408" t="s">
        <v>66</v>
      </c>
      <c r="F19" s="414">
        <f>349*1.1</f>
        <v>383.90000000000003</v>
      </c>
      <c r="G19" s="408">
        <v>77.599999999999994</v>
      </c>
      <c r="H19" s="415">
        <f>G19*F19</f>
        <v>29790.639999999999</v>
      </c>
    </row>
    <row r="20" spans="1:8" x14ac:dyDescent="0.25">
      <c r="A20" s="413" t="s">
        <v>539</v>
      </c>
      <c r="B20" s="408"/>
      <c r="C20" s="408">
        <v>162751157</v>
      </c>
      <c r="D20" s="408" t="s">
        <v>540</v>
      </c>
      <c r="E20" s="408" t="s">
        <v>96</v>
      </c>
      <c r="F20" s="414">
        <v>38.39</v>
      </c>
      <c r="G20" s="408">
        <v>402.58</v>
      </c>
      <c r="H20" s="415">
        <f>G20*F20</f>
        <v>15455.046199999999</v>
      </c>
    </row>
    <row r="21" spans="1:8" x14ac:dyDescent="0.25">
      <c r="A21" s="413" t="s">
        <v>541</v>
      </c>
      <c r="B21" s="408"/>
      <c r="C21" s="408">
        <v>171201211</v>
      </c>
      <c r="D21" s="408" t="s">
        <v>241</v>
      </c>
      <c r="E21" s="408" t="s">
        <v>85</v>
      </c>
      <c r="F21" s="414">
        <f>F20*2</f>
        <v>76.78</v>
      </c>
      <c r="G21" s="408">
        <v>116</v>
      </c>
      <c r="H21" s="415">
        <f>G21*F21</f>
        <v>8906.48</v>
      </c>
    </row>
    <row r="22" spans="1:8" x14ac:dyDescent="0.25">
      <c r="A22" s="413" t="s">
        <v>542</v>
      </c>
      <c r="B22" s="408"/>
      <c r="C22" s="408">
        <v>181152302</v>
      </c>
      <c r="D22" s="408" t="s">
        <v>543</v>
      </c>
      <c r="E22" s="408" t="s">
        <v>66</v>
      </c>
      <c r="F22" s="414">
        <v>383.9</v>
      </c>
      <c r="G22" s="408">
        <f>28.8*0.95</f>
        <v>27.36</v>
      </c>
      <c r="H22" s="415">
        <f>G22*F22</f>
        <v>10503.503999999999</v>
      </c>
    </row>
    <row r="23" spans="1:8" x14ac:dyDescent="0.25">
      <c r="A23" s="413" t="s">
        <v>544</v>
      </c>
      <c r="B23" s="408"/>
      <c r="C23" s="408">
        <v>567132115</v>
      </c>
      <c r="D23" s="408" t="s">
        <v>545</v>
      </c>
      <c r="E23" s="408" t="s">
        <v>66</v>
      </c>
      <c r="F23" s="414">
        <v>383.9</v>
      </c>
      <c r="G23" s="408">
        <v>214.7</v>
      </c>
      <c r="H23" s="415">
        <f>G23*F23</f>
        <v>82423.329999999987</v>
      </c>
    </row>
    <row r="24" spans="1:8" x14ac:dyDescent="0.25">
      <c r="A24" s="408"/>
      <c r="B24" s="408"/>
      <c r="C24" s="408"/>
      <c r="D24" s="408"/>
      <c r="E24" s="408"/>
      <c r="F24" s="408"/>
      <c r="G24" s="408"/>
      <c r="H24" s="408"/>
    </row>
    <row r="25" spans="1:8" x14ac:dyDescent="0.25">
      <c r="A25" s="408"/>
      <c r="B25" s="408"/>
      <c r="C25" s="408"/>
      <c r="D25" s="412" t="s">
        <v>546</v>
      </c>
      <c r="E25" s="408"/>
      <c r="F25" s="408"/>
      <c r="G25" s="408"/>
      <c r="H25" s="416">
        <f>SUM(H19:H24)</f>
        <v>147079.00019999998</v>
      </c>
    </row>
    <row r="27" spans="1:8" ht="15.75" x14ac:dyDescent="0.25">
      <c r="B27" s="31" t="s">
        <v>18</v>
      </c>
      <c r="D27" s="422" t="s">
        <v>549</v>
      </c>
      <c r="E27" s="422"/>
      <c r="F27" s="381"/>
      <c r="H27" s="36" t="s">
        <v>22</v>
      </c>
    </row>
    <row r="28" spans="1:8" ht="15.75" x14ac:dyDescent="0.25">
      <c r="B28" s="31"/>
      <c r="D28" s="35"/>
      <c r="E28" s="423"/>
      <c r="F28" s="381"/>
      <c r="H28" s="36"/>
    </row>
    <row r="29" spans="1:8" ht="15.75" x14ac:dyDescent="0.25">
      <c r="B29" s="31" t="s">
        <v>19</v>
      </c>
      <c r="D29" s="32" t="s">
        <v>548</v>
      </c>
      <c r="E29" s="32"/>
      <c r="F29" s="381"/>
      <c r="H29" s="31" t="s">
        <v>19</v>
      </c>
    </row>
  </sheetData>
  <mergeCells count="1">
    <mergeCell ref="A12:H12"/>
  </mergeCells>
  <conditionalFormatting sqref="W1:AC1 A1:U1">
    <cfRule type="cellIs" dxfId="1" priority="2" stopIfTrue="1" operator="lessThan">
      <formula>0</formula>
    </cfRule>
  </conditionalFormatting>
  <conditionalFormatting sqref="E3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Rekapitulace</vt:lpstr>
      <vt:lpstr>007-01</vt:lpstr>
      <vt:lpstr>007-02</vt:lpstr>
      <vt:lpstr>007-03</vt:lpstr>
      <vt:lpstr>007-04</vt:lpstr>
      <vt:lpstr>007-05</vt:lpstr>
      <vt:lpstr>007-06</vt:lpstr>
      <vt:lpstr>007-07</vt:lpstr>
      <vt:lpstr>'007-01'!Oblast_tisku</vt:lpstr>
      <vt:lpstr>'007-02'!Oblast_tisku</vt:lpstr>
      <vt:lpstr>'007-03'!Oblast_tisku</vt:lpstr>
      <vt:lpstr>'007-04'!Oblast_tisku</vt:lpstr>
      <vt:lpstr>'007-06'!Oblast_tisku</vt:lpstr>
      <vt:lpstr>'007-07'!Oblast_tisku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2023-01-09T13:59:16Z</cp:lastPrinted>
  <dcterms:created xsi:type="dcterms:W3CDTF">2022-11-23T15:31:58Z</dcterms:created>
  <dcterms:modified xsi:type="dcterms:W3CDTF">2023-01-09T14:01:10Z</dcterms:modified>
</cp:coreProperties>
</file>